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870" yWindow="75" windowWidth="10290" windowHeight="8175" tabRatio="896"/>
  </bookViews>
  <sheets>
    <sheet name="Summary" sheetId="7" r:id="rId1"/>
    <sheet name="Summary 2" sheetId="8" r:id="rId2"/>
    <sheet name="Operating Budget v Actual" sheetId="1" r:id="rId3"/>
    <sheet name="Balance Sheet" sheetId="2" r:id="rId4"/>
    <sheet name="Capital Budget v Actual" sheetId="4" r:id="rId5"/>
    <sheet name="Enrollment Summary" sheetId="3" r:id="rId6"/>
    <sheet name="Mapping Data" sheetId="5" state="hidden" r:id="rId7"/>
    <sheet name="Validation Table" sheetId="9" state="hidden" r:id="rId8"/>
  </sheets>
  <definedNames>
    <definedName name="_xlnm.Print_Area" localSheetId="3">'Balance Sheet'!$A$2:$E$70</definedName>
    <definedName name="_xlnm.Print_Area" localSheetId="4">'Capital Budget v Actual'!$A$2:$S$12</definedName>
    <definedName name="_xlnm.Print_Area" localSheetId="5">'Enrollment Summary'!$A$2:$P$24</definedName>
    <definedName name="_xlnm.Print_Area" localSheetId="2">'Operating Budget v Actual'!$A$2:$U$147</definedName>
    <definedName name="_xlnm.Print_Area" localSheetId="0">Summary!$A$2:$L$61</definedName>
    <definedName name="_xlnm.Print_Area" localSheetId="1">'Summary 2'!$A$1:$U$45</definedName>
    <definedName name="_xlnm.Print_Titles" localSheetId="2">'Operating Budget v Actual'!$2:$2</definedName>
  </definedNames>
  <calcPr calcId="145621"/>
</workbook>
</file>

<file path=xl/calcChain.xml><?xml version="1.0" encoding="utf-8"?>
<calcChain xmlns="http://schemas.openxmlformats.org/spreadsheetml/2006/main">
  <c r="G24" i="7" l="1"/>
  <c r="M7" i="4" l="1"/>
  <c r="N15" i="1"/>
  <c r="N99" i="1" l="1"/>
  <c r="N76" i="1"/>
  <c r="N75" i="1"/>
  <c r="N74" i="1"/>
  <c r="N73" i="1"/>
  <c r="N66" i="1"/>
  <c r="N50" i="1"/>
  <c r="N47" i="1"/>
  <c r="N45" i="1"/>
  <c r="N43" i="1"/>
  <c r="N40" i="1"/>
  <c r="N33" i="1"/>
  <c r="N29" i="1"/>
  <c r="C155" i="5"/>
  <c r="E154" i="5"/>
  <c r="C154" i="5"/>
  <c r="D154" i="5" s="1"/>
  <c r="E152" i="5"/>
  <c r="D152" i="5"/>
  <c r="C152" i="5"/>
  <c r="E151" i="5"/>
  <c r="B151" i="5"/>
  <c r="D151" i="5" s="1"/>
  <c r="C150" i="5"/>
  <c r="B150" i="5"/>
  <c r="E149" i="5"/>
  <c r="D149" i="5"/>
  <c r="E147" i="5"/>
  <c r="D147" i="5"/>
  <c r="B147" i="5"/>
  <c r="C146" i="5"/>
  <c r="E146" i="5" s="1"/>
  <c r="B146" i="5"/>
  <c r="C145" i="5"/>
  <c r="D145" i="5" s="1"/>
  <c r="B145" i="5"/>
  <c r="E144" i="5"/>
  <c r="B144" i="5"/>
  <c r="B148" i="5" s="1"/>
  <c r="E143" i="5"/>
  <c r="D143" i="5"/>
  <c r="E141" i="5"/>
  <c r="D141" i="5"/>
  <c r="C141" i="5"/>
  <c r="E140" i="5"/>
  <c r="B140" i="5"/>
  <c r="D140" i="5" s="1"/>
  <c r="C139" i="5"/>
  <c r="B139" i="5"/>
  <c r="D139" i="5" s="1"/>
  <c r="C138" i="5"/>
  <c r="B138" i="5"/>
  <c r="E137" i="5"/>
  <c r="D137" i="5"/>
  <c r="E135" i="5"/>
  <c r="D135" i="5"/>
  <c r="C135" i="5"/>
  <c r="B135" i="5"/>
  <c r="E134" i="5"/>
  <c r="D134" i="5"/>
  <c r="C134" i="5"/>
  <c r="C136" i="5" s="1"/>
  <c r="E136" i="5" s="1"/>
  <c r="B134" i="5"/>
  <c r="B136" i="5" s="1"/>
  <c r="D136" i="5" s="1"/>
  <c r="E133" i="5"/>
  <c r="D133" i="5"/>
  <c r="C132" i="5"/>
  <c r="B132" i="5"/>
  <c r="D132" i="5" s="1"/>
  <c r="C131" i="5"/>
  <c r="B131" i="5"/>
  <c r="D131" i="5" s="1"/>
  <c r="E130" i="5"/>
  <c r="D130" i="5"/>
  <c r="E128" i="5"/>
  <c r="D128" i="5"/>
  <c r="C128" i="5"/>
  <c r="B128" i="5"/>
  <c r="E127" i="5"/>
  <c r="D127" i="5"/>
  <c r="C127" i="5"/>
  <c r="C126" i="5"/>
  <c r="E126" i="5" s="1"/>
  <c r="E125" i="5"/>
  <c r="B125" i="5"/>
  <c r="D125" i="5" s="1"/>
  <c r="C124" i="5"/>
  <c r="B124" i="5"/>
  <c r="E123" i="5"/>
  <c r="C123" i="5"/>
  <c r="D123" i="5" s="1"/>
  <c r="E122" i="5"/>
  <c r="D122" i="5"/>
  <c r="C122" i="5"/>
  <c r="C121" i="5"/>
  <c r="E121" i="5" s="1"/>
  <c r="B121" i="5"/>
  <c r="C120" i="5"/>
  <c r="E120" i="5" s="1"/>
  <c r="B120" i="5"/>
  <c r="D119" i="5"/>
  <c r="C119" i="5"/>
  <c r="E119" i="5" s="1"/>
  <c r="B119" i="5"/>
  <c r="C118" i="5"/>
  <c r="E117" i="5"/>
  <c r="D117" i="5"/>
  <c r="E115" i="5"/>
  <c r="D115" i="5"/>
  <c r="C115" i="5"/>
  <c r="B115" i="5"/>
  <c r="E114" i="5"/>
  <c r="D114" i="5"/>
  <c r="C114" i="5"/>
  <c r="B114" i="5"/>
  <c r="B116" i="5" s="1"/>
  <c r="E113" i="5"/>
  <c r="D113" i="5"/>
  <c r="C113" i="5"/>
  <c r="D112" i="5"/>
  <c r="C112" i="5"/>
  <c r="E112" i="5" s="1"/>
  <c r="B112" i="5"/>
  <c r="C111" i="5"/>
  <c r="E111" i="5" s="1"/>
  <c r="B111" i="5"/>
  <c r="C110" i="5"/>
  <c r="E110" i="5" s="1"/>
  <c r="B110" i="5"/>
  <c r="C109" i="5"/>
  <c r="E109" i="5" s="1"/>
  <c r="B109" i="5"/>
  <c r="D108" i="5"/>
  <c r="C108" i="5"/>
  <c r="E108" i="5" s="1"/>
  <c r="B108" i="5"/>
  <c r="C107" i="5"/>
  <c r="D107" i="5" s="1"/>
  <c r="B107" i="5"/>
  <c r="E106" i="5"/>
  <c r="D106" i="5"/>
  <c r="E104" i="5"/>
  <c r="C104" i="5"/>
  <c r="D104" i="5" s="1"/>
  <c r="E103" i="5"/>
  <c r="D103" i="5"/>
  <c r="C103" i="5"/>
  <c r="B103" i="5"/>
  <c r="E102" i="5"/>
  <c r="D102" i="5"/>
  <c r="C102" i="5"/>
  <c r="B102" i="5"/>
  <c r="E101" i="5"/>
  <c r="D101" i="5"/>
  <c r="C101" i="5"/>
  <c r="B101" i="5"/>
  <c r="E100" i="5"/>
  <c r="D100" i="5"/>
  <c r="C100" i="5"/>
  <c r="B100" i="5"/>
  <c r="E99" i="5"/>
  <c r="D99" i="5"/>
  <c r="C99" i="5"/>
  <c r="B99" i="5"/>
  <c r="E98" i="5"/>
  <c r="D98" i="5"/>
  <c r="C98" i="5"/>
  <c r="B98" i="5"/>
  <c r="E97" i="5"/>
  <c r="D97" i="5"/>
  <c r="C97" i="5"/>
  <c r="C96" i="5"/>
  <c r="E96" i="5" s="1"/>
  <c r="B96" i="5"/>
  <c r="C95" i="5"/>
  <c r="E95" i="5" s="1"/>
  <c r="B95" i="5"/>
  <c r="C94" i="5"/>
  <c r="E94" i="5" s="1"/>
  <c r="B94" i="5"/>
  <c r="D93" i="5"/>
  <c r="C93" i="5"/>
  <c r="E93" i="5" s="1"/>
  <c r="C92" i="5"/>
  <c r="E92" i="5" s="1"/>
  <c r="E91" i="5"/>
  <c r="C91" i="5"/>
  <c r="E90" i="5"/>
  <c r="D90" i="5"/>
  <c r="C90" i="5"/>
  <c r="B90" i="5"/>
  <c r="E89" i="5"/>
  <c r="D89" i="5"/>
  <c r="C89" i="5"/>
  <c r="B89" i="5"/>
  <c r="B105" i="5" s="1"/>
  <c r="E88" i="5"/>
  <c r="D88" i="5"/>
  <c r="C85" i="5"/>
  <c r="B85" i="5"/>
  <c r="D85" i="5" s="1"/>
  <c r="C84" i="5"/>
  <c r="B84" i="5"/>
  <c r="D84" i="5" s="1"/>
  <c r="D83" i="5"/>
  <c r="C83" i="5"/>
  <c r="B83" i="5"/>
  <c r="C82" i="5"/>
  <c r="E82" i="5" s="1"/>
  <c r="B82" i="5"/>
  <c r="C81" i="5"/>
  <c r="B81" i="5"/>
  <c r="B86" i="5" s="1"/>
  <c r="E80" i="5"/>
  <c r="D80" i="5"/>
  <c r="E79" i="5"/>
  <c r="D79" i="5"/>
  <c r="C79" i="5"/>
  <c r="B79" i="5"/>
  <c r="E78" i="5"/>
  <c r="D78" i="5"/>
  <c r="C78" i="5"/>
  <c r="B78" i="5"/>
  <c r="E77" i="5"/>
  <c r="D77" i="5"/>
  <c r="B77" i="5"/>
  <c r="C76" i="5"/>
  <c r="E76" i="5" s="1"/>
  <c r="B76" i="5"/>
  <c r="C75" i="5"/>
  <c r="E75" i="5" s="1"/>
  <c r="B75" i="5"/>
  <c r="C74" i="5"/>
  <c r="E74" i="5" s="1"/>
  <c r="B74" i="5"/>
  <c r="E73" i="5"/>
  <c r="B73" i="5"/>
  <c r="D73" i="5" s="1"/>
  <c r="E72" i="5"/>
  <c r="B72" i="5"/>
  <c r="D72" i="5" s="1"/>
  <c r="E71" i="5"/>
  <c r="B71" i="5"/>
  <c r="D71" i="5" s="1"/>
  <c r="E70" i="5"/>
  <c r="D70" i="5"/>
  <c r="B70" i="5"/>
  <c r="C69" i="5"/>
  <c r="D69" i="5" s="1"/>
  <c r="B69" i="5"/>
  <c r="E68" i="5"/>
  <c r="B68" i="5"/>
  <c r="D68" i="5" s="1"/>
  <c r="D67" i="5"/>
  <c r="C67" i="5"/>
  <c r="B67" i="5"/>
  <c r="E66" i="5"/>
  <c r="D66" i="5"/>
  <c r="B66" i="5"/>
  <c r="C65" i="5"/>
  <c r="E65" i="5" s="1"/>
  <c r="B65" i="5"/>
  <c r="D65" i="5" s="1"/>
  <c r="C64" i="5"/>
  <c r="B64" i="5"/>
  <c r="D64" i="5" s="1"/>
  <c r="E63" i="5"/>
  <c r="D63" i="5"/>
  <c r="C61" i="5"/>
  <c r="D61" i="5" s="1"/>
  <c r="B61" i="5"/>
  <c r="C60" i="5"/>
  <c r="E60" i="5" s="1"/>
  <c r="E59" i="5"/>
  <c r="C59" i="5"/>
  <c r="D59" i="5" s="1"/>
  <c r="B59" i="5"/>
  <c r="E58" i="5"/>
  <c r="C58" i="5"/>
  <c r="D58" i="5" s="1"/>
  <c r="B58" i="5"/>
  <c r="E57" i="5"/>
  <c r="C57" i="5"/>
  <c r="D57" i="5" s="1"/>
  <c r="B57" i="5"/>
  <c r="E56" i="5"/>
  <c r="C56" i="5"/>
  <c r="D56" i="5" s="1"/>
  <c r="B56" i="5"/>
  <c r="E55" i="5"/>
  <c r="C55" i="5"/>
  <c r="D55" i="5" s="1"/>
  <c r="B55" i="5"/>
  <c r="B60" i="5" s="1"/>
  <c r="D60" i="5" s="1"/>
  <c r="E54" i="5"/>
  <c r="D54" i="5"/>
  <c r="C53" i="5"/>
  <c r="B53" i="5"/>
  <c r="D53" i="5" s="1"/>
  <c r="E52" i="5"/>
  <c r="B52" i="5"/>
  <c r="D52" i="5" s="1"/>
  <c r="E51" i="5"/>
  <c r="D51" i="5"/>
  <c r="C51" i="5"/>
  <c r="B51" i="5"/>
  <c r="E50" i="5"/>
  <c r="D50" i="5"/>
  <c r="C50" i="5"/>
  <c r="B50" i="5"/>
  <c r="E49" i="5"/>
  <c r="D49" i="5"/>
  <c r="C49" i="5"/>
  <c r="B49" i="5"/>
  <c r="E48" i="5"/>
  <c r="D48" i="5"/>
  <c r="C48" i="5"/>
  <c r="B48" i="5"/>
  <c r="E47" i="5"/>
  <c r="D47" i="5"/>
  <c r="C47" i="5"/>
  <c r="B47" i="5"/>
  <c r="E46" i="5"/>
  <c r="D46" i="5"/>
  <c r="C46" i="5"/>
  <c r="B46" i="5"/>
  <c r="E45" i="5"/>
  <c r="D45" i="5"/>
  <c r="C45" i="5"/>
  <c r="B45" i="5"/>
  <c r="E44" i="5"/>
  <c r="D44" i="5"/>
  <c r="C44" i="5"/>
  <c r="B44" i="5"/>
  <c r="E43" i="5"/>
  <c r="D43" i="5"/>
  <c r="C43" i="5"/>
  <c r="B43" i="5"/>
  <c r="E42" i="5"/>
  <c r="D42" i="5"/>
  <c r="D40" i="5"/>
  <c r="C40" i="5"/>
  <c r="B40" i="5"/>
  <c r="C39" i="5"/>
  <c r="B39" i="5"/>
  <c r="C38" i="5"/>
  <c r="B38" i="5"/>
  <c r="D38" i="5" s="1"/>
  <c r="C37" i="5"/>
  <c r="B37" i="5"/>
  <c r="D37" i="5" s="1"/>
  <c r="D36" i="5"/>
  <c r="C36" i="5"/>
  <c r="B36" i="5"/>
  <c r="C35" i="5"/>
  <c r="B35" i="5"/>
  <c r="C34" i="5"/>
  <c r="B34" i="5"/>
  <c r="E33" i="5"/>
  <c r="D33" i="5"/>
  <c r="E32" i="5"/>
  <c r="D32" i="5"/>
  <c r="C27" i="5"/>
  <c r="B27" i="5"/>
  <c r="D27" i="5" s="1"/>
  <c r="C26" i="5"/>
  <c r="B26" i="5"/>
  <c r="D26" i="5" s="1"/>
  <c r="E25" i="5"/>
  <c r="D25" i="5"/>
  <c r="E24" i="5"/>
  <c r="D24" i="5"/>
  <c r="C24" i="5"/>
  <c r="B24" i="5"/>
  <c r="E23" i="5"/>
  <c r="D23" i="5"/>
  <c r="B23" i="5"/>
  <c r="E22" i="5"/>
  <c r="D22" i="5"/>
  <c r="C21" i="5"/>
  <c r="C20" i="5"/>
  <c r="B20" i="5"/>
  <c r="D20" i="5" s="1"/>
  <c r="C19" i="5"/>
  <c r="D19" i="5" s="1"/>
  <c r="E18" i="5"/>
  <c r="D18" i="5"/>
  <c r="C18" i="5"/>
  <c r="B18" i="5"/>
  <c r="E17" i="5"/>
  <c r="D17" i="5"/>
  <c r="C17" i="5"/>
  <c r="B17" i="5"/>
  <c r="B21" i="5" s="1"/>
  <c r="D21" i="5" s="1"/>
  <c r="E16" i="5"/>
  <c r="D16" i="5"/>
  <c r="B15" i="5"/>
  <c r="D14" i="5"/>
  <c r="C14" i="5"/>
  <c r="E14" i="5" s="1"/>
  <c r="C13" i="5"/>
  <c r="D13" i="5" s="1"/>
  <c r="E12" i="5"/>
  <c r="D12" i="5"/>
  <c r="C12" i="5"/>
  <c r="E11" i="5"/>
  <c r="D11" i="5"/>
  <c r="C11" i="5"/>
  <c r="B11" i="5"/>
  <c r="E10" i="5"/>
  <c r="D10" i="5"/>
  <c r="C10" i="5"/>
  <c r="B10" i="5"/>
  <c r="E35" i="5" l="1"/>
  <c r="D35" i="5"/>
  <c r="B28" i="5"/>
  <c r="B41" i="5"/>
  <c r="D34" i="5"/>
  <c r="E39" i="5"/>
  <c r="D39" i="5"/>
  <c r="E20" i="5"/>
  <c r="E53" i="5"/>
  <c r="D105" i="5"/>
  <c r="E21" i="5"/>
  <c r="D148" i="5"/>
  <c r="C86" i="5"/>
  <c r="E86" i="5" s="1"/>
  <c r="C129" i="5"/>
  <c r="E118" i="5"/>
  <c r="D124" i="5"/>
  <c r="B129" i="5"/>
  <c r="D129" i="5" s="1"/>
  <c r="D74" i="5"/>
  <c r="D75" i="5"/>
  <c r="D76" i="5"/>
  <c r="E81" i="5"/>
  <c r="E85" i="5"/>
  <c r="D96" i="5"/>
  <c r="D111" i="5"/>
  <c r="D118" i="5"/>
  <c r="E132" i="5"/>
  <c r="C142" i="5"/>
  <c r="E138" i="5"/>
  <c r="C15" i="5"/>
  <c r="D81" i="5"/>
  <c r="E84" i="5"/>
  <c r="B87" i="5"/>
  <c r="D92" i="5"/>
  <c r="D95" i="5"/>
  <c r="D110" i="5"/>
  <c r="E19" i="5"/>
  <c r="E36" i="5"/>
  <c r="E40" i="5"/>
  <c r="E61" i="5"/>
  <c r="E64" i="5"/>
  <c r="E67" i="5"/>
  <c r="E69" i="5"/>
  <c r="E83" i="5"/>
  <c r="D91" i="5"/>
  <c r="C105" i="5"/>
  <c r="E105" i="5" s="1"/>
  <c r="D94" i="5"/>
  <c r="D109" i="5"/>
  <c r="D120" i="5"/>
  <c r="E131" i="5"/>
  <c r="E139" i="5"/>
  <c r="D144" i="5"/>
  <c r="C153" i="5"/>
  <c r="E150" i="5"/>
  <c r="C116" i="5"/>
  <c r="E116" i="5" s="1"/>
  <c r="E107" i="5"/>
  <c r="B142" i="5"/>
  <c r="D142" i="5" s="1"/>
  <c r="D138" i="5"/>
  <c r="E27" i="5"/>
  <c r="E34" i="5"/>
  <c r="E38" i="5"/>
  <c r="D82" i="5"/>
  <c r="E13" i="5"/>
  <c r="E26" i="5"/>
  <c r="E37" i="5"/>
  <c r="C41" i="5"/>
  <c r="D121" i="5"/>
  <c r="E124" i="5"/>
  <c r="D126" i="5"/>
  <c r="C148" i="5"/>
  <c r="E148" i="5" s="1"/>
  <c r="E145" i="5"/>
  <c r="D146" i="5"/>
  <c r="B153" i="5"/>
  <c r="D153" i="5" s="1"/>
  <c r="D150" i="5"/>
  <c r="E155" i="5"/>
  <c r="D155" i="5"/>
  <c r="F52" i="5"/>
  <c r="G52" i="5"/>
  <c r="F53" i="5"/>
  <c r="G53" i="5"/>
  <c r="I47" i="1"/>
  <c r="G47" i="1"/>
  <c r="E48" i="1"/>
  <c r="Y10" i="1"/>
  <c r="Y7" i="1"/>
  <c r="Y4" i="1"/>
  <c r="E15" i="5" l="1"/>
  <c r="C28" i="5"/>
  <c r="B62" i="5"/>
  <c r="D41" i="5"/>
  <c r="D15" i="5"/>
  <c r="K47" i="1"/>
  <c r="E142" i="5"/>
  <c r="D116" i="5"/>
  <c r="C87" i="5"/>
  <c r="E87" i="5" s="1"/>
  <c r="E153" i="5"/>
  <c r="D87" i="5"/>
  <c r="B29" i="5"/>
  <c r="E41" i="5"/>
  <c r="C62" i="5"/>
  <c r="E129" i="5"/>
  <c r="D86" i="5"/>
  <c r="O47" i="1"/>
  <c r="Q47" i="1" s="1"/>
  <c r="S47" i="1" s="1"/>
  <c r="B30" i="5" l="1"/>
  <c r="D29" i="5"/>
  <c r="E62" i="5"/>
  <c r="C156" i="5"/>
  <c r="B156" i="5"/>
  <c r="D156" i="5" s="1"/>
  <c r="D62" i="5"/>
  <c r="E28" i="5"/>
  <c r="C29" i="5"/>
  <c r="D28" i="5"/>
  <c r="O43" i="1"/>
  <c r="N6" i="1"/>
  <c r="D30" i="5" l="1"/>
  <c r="B157" i="5"/>
  <c r="E29" i="5"/>
  <c r="C30" i="5"/>
  <c r="E156" i="5"/>
  <c r="N5" i="1"/>
  <c r="O144" i="1"/>
  <c r="O142" i="1"/>
  <c r="O138" i="1"/>
  <c r="O136" i="1"/>
  <c r="O135" i="1"/>
  <c r="O94" i="1"/>
  <c r="O76" i="1"/>
  <c r="O75" i="1"/>
  <c r="O74" i="1"/>
  <c r="O73" i="1"/>
  <c r="O63" i="1"/>
  <c r="O50" i="1"/>
  <c r="O40" i="1"/>
  <c r="O45" i="1"/>
  <c r="O38" i="1"/>
  <c r="O32" i="1"/>
  <c r="O33" i="1"/>
  <c r="O29" i="1"/>
  <c r="O19" i="1"/>
  <c r="O18" i="1"/>
  <c r="N14" i="1"/>
  <c r="O15" i="1"/>
  <c r="E30" i="5" l="1"/>
  <c r="C157" i="5"/>
  <c r="E157" i="5" s="1"/>
  <c r="L44" i="8"/>
  <c r="K44" i="8"/>
  <c r="I44" i="8"/>
  <c r="H44" i="8"/>
  <c r="F44" i="8"/>
  <c r="E44" i="8"/>
  <c r="C44" i="8"/>
  <c r="D157" i="5" l="1"/>
  <c r="O22" i="3"/>
  <c r="O18" i="3"/>
  <c r="C69" i="2" l="1"/>
  <c r="C59" i="2"/>
  <c r="C63" i="2" s="1"/>
  <c r="C46" i="2"/>
  <c r="C35" i="2"/>
  <c r="C32" i="2"/>
  <c r="C29" i="2"/>
  <c r="C26" i="2"/>
  <c r="C9" i="2"/>
  <c r="C12" i="2"/>
  <c r="C17" i="2"/>
  <c r="C21" i="2" s="1"/>
  <c r="C19" i="2"/>
  <c r="M5" i="4"/>
  <c r="C64" i="2" l="1"/>
  <c r="C65" i="2" s="1"/>
  <c r="C70" i="2" s="1"/>
  <c r="C36" i="2"/>
  <c r="C22" i="2"/>
  <c r="C40" i="2" l="1"/>
  <c r="F125" i="5" l="1"/>
  <c r="I116" i="1" s="1"/>
  <c r="O116" i="1" s="1"/>
  <c r="G125" i="5"/>
  <c r="G116" i="1" s="1"/>
  <c r="F126" i="5"/>
  <c r="G126" i="5"/>
  <c r="I19" i="1" l="1"/>
  <c r="I18" i="1"/>
  <c r="I117" i="1"/>
  <c r="O117" i="1" s="1"/>
  <c r="G117" i="1"/>
  <c r="F141" i="5"/>
  <c r="I132" i="1" s="1"/>
  <c r="O132" i="1" s="1"/>
  <c r="G141" i="5"/>
  <c r="G132" i="1" s="1"/>
  <c r="G149" i="1" l="1"/>
  <c r="E149" i="1"/>
  <c r="G5" i="4"/>
  <c r="G6" i="4"/>
  <c r="G7" i="4"/>
  <c r="G4" i="4"/>
  <c r="L20" i="7" l="1"/>
  <c r="G37" i="5" l="1"/>
  <c r="G32" i="1" s="1"/>
  <c r="G39" i="5"/>
  <c r="G34" i="1" s="1"/>
  <c r="G41" i="5"/>
  <c r="G45" i="5"/>
  <c r="G40" i="1" s="1"/>
  <c r="G47" i="5"/>
  <c r="G42" i="1" s="1"/>
  <c r="G54" i="5"/>
  <c r="G56" i="5"/>
  <c r="G51" i="1" s="1"/>
  <c r="G60" i="5"/>
  <c r="G62" i="5"/>
  <c r="G67" i="5"/>
  <c r="G64" i="1" s="1"/>
  <c r="G69" i="5"/>
  <c r="G65" i="1" s="1"/>
  <c r="G70" i="5"/>
  <c r="G71" i="5"/>
  <c r="G72" i="5"/>
  <c r="G75" i="5"/>
  <c r="G67" i="1" s="1"/>
  <c r="G76" i="5"/>
  <c r="G68" i="1" s="1"/>
  <c r="G77" i="5"/>
  <c r="G69" i="1" s="1"/>
  <c r="G78" i="5"/>
  <c r="G70" i="1" s="1"/>
  <c r="G79" i="5"/>
  <c r="G71" i="1" s="1"/>
  <c r="G85" i="5"/>
  <c r="G77" i="1" s="1"/>
  <c r="G86" i="5"/>
  <c r="G89" i="5"/>
  <c r="G80" i="1" s="1"/>
  <c r="G107" i="5"/>
  <c r="G98" i="1" s="1"/>
  <c r="G118" i="5"/>
  <c r="G109" i="1" s="1"/>
  <c r="G131" i="5"/>
  <c r="G122" i="1" s="1"/>
  <c r="G134" i="5"/>
  <c r="G125" i="1" s="1"/>
  <c r="G138" i="5"/>
  <c r="G129" i="1" s="1"/>
  <c r="G144" i="5"/>
  <c r="G135" i="1" s="1"/>
  <c r="G150" i="5"/>
  <c r="G141" i="1" s="1"/>
  <c r="G152" i="5"/>
  <c r="G143" i="1" s="1"/>
  <c r="G33" i="5"/>
  <c r="F34" i="5"/>
  <c r="F35" i="5"/>
  <c r="F36" i="5"/>
  <c r="I31" i="1" s="1"/>
  <c r="O31" i="1" s="1"/>
  <c r="F37" i="5"/>
  <c r="F38" i="5"/>
  <c r="F39" i="5"/>
  <c r="F40" i="5"/>
  <c r="I35" i="1" s="1"/>
  <c r="O35" i="1" s="1"/>
  <c r="F41" i="5"/>
  <c r="F42" i="5"/>
  <c r="F43" i="5"/>
  <c r="F44" i="5"/>
  <c r="F45" i="5"/>
  <c r="F46" i="5"/>
  <c r="F47" i="5"/>
  <c r="F48" i="5"/>
  <c r="F49" i="5"/>
  <c r="I44" i="1" s="1"/>
  <c r="O44" i="1" s="1"/>
  <c r="F50" i="5"/>
  <c r="F51" i="5"/>
  <c r="I46" i="1" s="1"/>
  <c r="O46" i="1" s="1"/>
  <c r="F54" i="5"/>
  <c r="F55" i="5"/>
  <c r="F56" i="5"/>
  <c r="F57" i="5"/>
  <c r="F58" i="5"/>
  <c r="F59" i="5"/>
  <c r="I54" i="1" s="1"/>
  <c r="O54" i="1" s="1"/>
  <c r="F60" i="5"/>
  <c r="F61" i="5"/>
  <c r="I57" i="1" s="1"/>
  <c r="O57" i="1" s="1"/>
  <c r="F62" i="5"/>
  <c r="F63" i="5"/>
  <c r="F64" i="5"/>
  <c r="F65" i="5"/>
  <c r="F66" i="5"/>
  <c r="I63" i="1" s="1"/>
  <c r="F67" i="5"/>
  <c r="I64" i="1" s="1"/>
  <c r="F68" i="5"/>
  <c r="F69" i="5"/>
  <c r="I65" i="1" s="1"/>
  <c r="F70" i="5"/>
  <c r="F71" i="5"/>
  <c r="F72" i="5"/>
  <c r="F73" i="5"/>
  <c r="F74" i="5"/>
  <c r="F75" i="5"/>
  <c r="F76" i="5"/>
  <c r="I68" i="1" s="1"/>
  <c r="O68" i="1" s="1"/>
  <c r="F77" i="5"/>
  <c r="F78" i="5"/>
  <c r="F79" i="5"/>
  <c r="I71" i="1" s="1"/>
  <c r="O71" i="1" s="1"/>
  <c r="F80" i="5"/>
  <c r="F81" i="5"/>
  <c r="F82" i="5"/>
  <c r="F83" i="5"/>
  <c r="I75" i="1" s="1"/>
  <c r="F84" i="5"/>
  <c r="I76" i="1" s="1"/>
  <c r="F85" i="5"/>
  <c r="I77" i="1" s="1"/>
  <c r="O77" i="1" s="1"/>
  <c r="F86" i="5"/>
  <c r="F87" i="5"/>
  <c r="F88" i="5"/>
  <c r="F89" i="5"/>
  <c r="I80" i="1" s="1"/>
  <c r="O80" i="1" s="1"/>
  <c r="F90" i="5"/>
  <c r="F91" i="5"/>
  <c r="F92" i="5"/>
  <c r="I83" i="1" s="1"/>
  <c r="O83" i="1" s="1"/>
  <c r="F93" i="5"/>
  <c r="I84" i="1" s="1"/>
  <c r="O84" i="1" s="1"/>
  <c r="F94" i="5"/>
  <c r="I85" i="1" s="1"/>
  <c r="O85" i="1" s="1"/>
  <c r="F95" i="5"/>
  <c r="F96" i="5"/>
  <c r="F97" i="5"/>
  <c r="I88" i="1" s="1"/>
  <c r="O88" i="1" s="1"/>
  <c r="F98" i="5"/>
  <c r="F99" i="5"/>
  <c r="F100" i="5"/>
  <c r="F101" i="5"/>
  <c r="I92" i="1" s="1"/>
  <c r="F102" i="5"/>
  <c r="F103" i="5"/>
  <c r="F104" i="5"/>
  <c r="I95" i="1" s="1"/>
  <c r="O95" i="1" s="1"/>
  <c r="F105" i="5"/>
  <c r="F106" i="5"/>
  <c r="F107" i="5"/>
  <c r="I98" i="1" s="1"/>
  <c r="O98" i="1" s="1"/>
  <c r="F108" i="5"/>
  <c r="F109" i="5"/>
  <c r="F110" i="5"/>
  <c r="F111" i="5"/>
  <c r="F112" i="5"/>
  <c r="I103" i="1" s="1"/>
  <c r="O103" i="1" s="1"/>
  <c r="F113" i="5"/>
  <c r="F114" i="5"/>
  <c r="F115" i="5"/>
  <c r="F116" i="5"/>
  <c r="F117" i="5"/>
  <c r="F118" i="5"/>
  <c r="I109" i="1" s="1"/>
  <c r="O109" i="1" s="1"/>
  <c r="F119" i="5"/>
  <c r="F120" i="5"/>
  <c r="F121" i="5"/>
  <c r="I112" i="1" s="1"/>
  <c r="O112" i="1" s="1"/>
  <c r="F122" i="5"/>
  <c r="F123" i="5"/>
  <c r="I114" i="1" s="1"/>
  <c r="O114" i="1" s="1"/>
  <c r="F124" i="5"/>
  <c r="F127" i="5"/>
  <c r="I118" i="1" s="1"/>
  <c r="O118" i="1" s="1"/>
  <c r="F128" i="5"/>
  <c r="F129" i="5"/>
  <c r="F130" i="5"/>
  <c r="F131" i="5"/>
  <c r="I122" i="1" s="1"/>
  <c r="O122" i="1" s="1"/>
  <c r="F132" i="5"/>
  <c r="F133" i="5"/>
  <c r="F134" i="5"/>
  <c r="I125" i="1" s="1"/>
  <c r="O125" i="1" s="1"/>
  <c r="F135" i="5"/>
  <c r="F136" i="5"/>
  <c r="F137" i="5"/>
  <c r="F138" i="5"/>
  <c r="I129" i="1" s="1"/>
  <c r="O129" i="1" s="1"/>
  <c r="F139" i="5"/>
  <c r="I130" i="1" s="1"/>
  <c r="O130" i="1" s="1"/>
  <c r="F140" i="5"/>
  <c r="I131" i="1" s="1"/>
  <c r="O131" i="1" s="1"/>
  <c r="F142" i="5"/>
  <c r="F143" i="5"/>
  <c r="F144" i="5"/>
  <c r="I135" i="1" s="1"/>
  <c r="F145" i="5"/>
  <c r="I136" i="1" s="1"/>
  <c r="F146" i="5"/>
  <c r="I137" i="1" s="1"/>
  <c r="O137" i="1" s="1"/>
  <c r="F147" i="5"/>
  <c r="F148" i="5"/>
  <c r="F149" i="5"/>
  <c r="F150" i="5"/>
  <c r="I141" i="1" s="1"/>
  <c r="O141" i="1" s="1"/>
  <c r="F151" i="5"/>
  <c r="F152" i="5"/>
  <c r="F153" i="5"/>
  <c r="F154" i="5"/>
  <c r="I144" i="1" s="1"/>
  <c r="F155" i="5"/>
  <c r="F156" i="5"/>
  <c r="F157" i="5"/>
  <c r="F33" i="5"/>
  <c r="I22" i="1"/>
  <c r="O22" i="1" s="1"/>
  <c r="I15" i="1"/>
  <c r="I14" i="1"/>
  <c r="I13" i="1"/>
  <c r="O13" i="1" s="1"/>
  <c r="I12" i="1"/>
  <c r="O12" i="1" s="1"/>
  <c r="I9" i="1"/>
  <c r="O9" i="1" s="1"/>
  <c r="I8" i="1"/>
  <c r="O8" i="1" s="1"/>
  <c r="I7" i="1"/>
  <c r="O7" i="1" s="1"/>
  <c r="I6" i="1"/>
  <c r="O6" i="1" s="1"/>
  <c r="I5" i="1"/>
  <c r="O5" i="1" s="1"/>
  <c r="G22" i="1"/>
  <c r="G19" i="1"/>
  <c r="G18" i="1"/>
  <c r="G15" i="1"/>
  <c r="G14" i="1"/>
  <c r="G13" i="1"/>
  <c r="G12" i="1"/>
  <c r="G9" i="1"/>
  <c r="G8" i="1"/>
  <c r="G7" i="1"/>
  <c r="G6" i="1"/>
  <c r="G5" i="1"/>
  <c r="G151" i="5"/>
  <c r="G142" i="1" s="1"/>
  <c r="G147" i="5"/>
  <c r="G138" i="1" s="1"/>
  <c r="G146" i="5"/>
  <c r="G137" i="1" s="1"/>
  <c r="G140" i="5"/>
  <c r="G131" i="1" s="1"/>
  <c r="G136" i="5"/>
  <c r="G135" i="5"/>
  <c r="G126" i="1" s="1"/>
  <c r="G133" i="5"/>
  <c r="G129" i="5"/>
  <c r="G128" i="5"/>
  <c r="G119" i="1" s="1"/>
  <c r="G122" i="5"/>
  <c r="G113" i="1" s="1"/>
  <c r="G121" i="5"/>
  <c r="G112" i="1" s="1"/>
  <c r="G120" i="5"/>
  <c r="G111" i="1" s="1"/>
  <c r="G119" i="5"/>
  <c r="G110" i="1" s="1"/>
  <c r="G116" i="5"/>
  <c r="G114" i="5"/>
  <c r="G105" i="1" s="1"/>
  <c r="G104" i="5"/>
  <c r="G95" i="1" s="1"/>
  <c r="G102" i="5"/>
  <c r="G93" i="1" s="1"/>
  <c r="G100" i="5"/>
  <c r="G91" i="1" s="1"/>
  <c r="G98" i="5"/>
  <c r="G89" i="1" s="1"/>
  <c r="G96" i="5"/>
  <c r="G87" i="1" s="1"/>
  <c r="G92" i="5"/>
  <c r="G83" i="1" s="1"/>
  <c r="G83" i="5"/>
  <c r="G75" i="1" s="1"/>
  <c r="G81" i="5"/>
  <c r="G73" i="1" s="1"/>
  <c r="G74" i="5"/>
  <c r="G66" i="1" s="1"/>
  <c r="G68" i="5"/>
  <c r="G64" i="5"/>
  <c r="G61" i="1" s="1"/>
  <c r="G58" i="5"/>
  <c r="G53" i="1" s="1"/>
  <c r="G57" i="5"/>
  <c r="G52" i="1" s="1"/>
  <c r="G55" i="5"/>
  <c r="G50" i="1" s="1"/>
  <c r="G49" i="5"/>
  <c r="G44" i="1" s="1"/>
  <c r="G46" i="5"/>
  <c r="G41" i="1" s="1"/>
  <c r="G43" i="5"/>
  <c r="G38" i="1" s="1"/>
  <c r="G36" i="5"/>
  <c r="G31" i="1" s="1"/>
  <c r="O14" i="1" l="1"/>
  <c r="Q14" i="1" s="1"/>
  <c r="Q15" i="1"/>
  <c r="I138" i="1"/>
  <c r="Q63" i="1"/>
  <c r="S63" i="1" s="1"/>
  <c r="I62" i="1"/>
  <c r="O62" i="1" s="1"/>
  <c r="I52" i="1"/>
  <c r="O52" i="1" s="1"/>
  <c r="I43" i="1"/>
  <c r="I39" i="1"/>
  <c r="O39" i="1" s="1"/>
  <c r="I115" i="1"/>
  <c r="O115" i="1" s="1"/>
  <c r="I111" i="1"/>
  <c r="O111" i="1" s="1"/>
  <c r="I99" i="1"/>
  <c r="O99" i="1" s="1"/>
  <c r="I91" i="1"/>
  <c r="O91" i="1" s="1"/>
  <c r="I87" i="1"/>
  <c r="O87" i="1" s="1"/>
  <c r="I61" i="1"/>
  <c r="O61" i="1" s="1"/>
  <c r="I51" i="1"/>
  <c r="O51" i="1" s="1"/>
  <c r="I42" i="1"/>
  <c r="O42" i="1" s="1"/>
  <c r="I38" i="1"/>
  <c r="I34" i="1"/>
  <c r="O34" i="1" s="1"/>
  <c r="I30" i="1"/>
  <c r="O30" i="1" s="1"/>
  <c r="I119" i="1"/>
  <c r="O119" i="1" s="1"/>
  <c r="I110" i="1"/>
  <c r="O110" i="1" s="1"/>
  <c r="I106" i="1"/>
  <c r="O106" i="1" s="1"/>
  <c r="I102" i="1"/>
  <c r="O102" i="1" s="1"/>
  <c r="I94" i="1"/>
  <c r="I90" i="1"/>
  <c r="O90" i="1" s="1"/>
  <c r="I86" i="1"/>
  <c r="O86" i="1" s="1"/>
  <c r="I82" i="1"/>
  <c r="O82" i="1" s="1"/>
  <c r="I67" i="1"/>
  <c r="O67" i="1" s="1"/>
  <c r="I50" i="1"/>
  <c r="I45" i="1"/>
  <c r="I41" i="1"/>
  <c r="O41" i="1" s="1"/>
  <c r="I33" i="1"/>
  <c r="I29" i="1"/>
  <c r="I142" i="1"/>
  <c r="I104" i="1"/>
  <c r="O104" i="1" s="1"/>
  <c r="I100" i="1"/>
  <c r="O100" i="1" s="1"/>
  <c r="I73" i="1"/>
  <c r="I69" i="1"/>
  <c r="O69" i="1" s="1"/>
  <c r="I143" i="1"/>
  <c r="I126" i="1"/>
  <c r="O126" i="1" s="1"/>
  <c r="I113" i="1"/>
  <c r="O113" i="1" s="1"/>
  <c r="I105" i="1"/>
  <c r="O105" i="1" s="1"/>
  <c r="I101" i="1"/>
  <c r="O101" i="1" s="1"/>
  <c r="I93" i="1"/>
  <c r="O93" i="1" s="1"/>
  <c r="I89" i="1"/>
  <c r="O89" i="1" s="1"/>
  <c r="I81" i="1"/>
  <c r="O81" i="1" s="1"/>
  <c r="I74" i="1"/>
  <c r="I70" i="1"/>
  <c r="O70" i="1" s="1"/>
  <c r="I66" i="1"/>
  <c r="O66" i="1" s="1"/>
  <c r="I53" i="1"/>
  <c r="O53" i="1" s="1"/>
  <c r="I40" i="1"/>
  <c r="I32" i="1"/>
  <c r="Q12" i="1"/>
  <c r="G110" i="5"/>
  <c r="G101" i="1" s="1"/>
  <c r="G130" i="5"/>
  <c r="G105" i="5"/>
  <c r="G93" i="5"/>
  <c r="G84" i="1" s="1"/>
  <c r="G99" i="5"/>
  <c r="G90" i="1" s="1"/>
  <c r="G153" i="5"/>
  <c r="G66" i="5"/>
  <c r="G63" i="1" s="1"/>
  <c r="G82" i="5"/>
  <c r="G74" i="1" s="1"/>
  <c r="G115" i="5"/>
  <c r="G106" i="1" s="1"/>
  <c r="G132" i="5"/>
  <c r="G73" i="5"/>
  <c r="G117" i="5"/>
  <c r="G111" i="5"/>
  <c r="G102" i="1" s="1"/>
  <c r="G113" i="5"/>
  <c r="G104" i="1" s="1"/>
  <c r="G155" i="5"/>
  <c r="G103" i="5"/>
  <c r="G94" i="1" s="1"/>
  <c r="G95" i="5"/>
  <c r="G86" i="1" s="1"/>
  <c r="G65" i="5"/>
  <c r="G62" i="1" s="1"/>
  <c r="G35" i="5"/>
  <c r="G30" i="1" s="1"/>
  <c r="G34" i="5"/>
  <c r="G29" i="1" s="1"/>
  <c r="G44" i="5"/>
  <c r="G39" i="1" s="1"/>
  <c r="G84" i="5"/>
  <c r="G76" i="1" s="1"/>
  <c r="G123" i="5"/>
  <c r="G114" i="1" s="1"/>
  <c r="G112" i="5"/>
  <c r="G103" i="1" s="1"/>
  <c r="G101" i="5"/>
  <c r="G92" i="1" s="1"/>
  <c r="G63" i="5"/>
  <c r="G42" i="5"/>
  <c r="G48" i="5"/>
  <c r="G43" i="1" s="1"/>
  <c r="G50" i="5"/>
  <c r="G45" i="1" s="1"/>
  <c r="G109" i="5"/>
  <c r="G100" i="1" s="1"/>
  <c r="G91" i="5"/>
  <c r="G82" i="1" s="1"/>
  <c r="G38" i="5"/>
  <c r="G33" i="1" s="1"/>
  <c r="G87" i="5"/>
  <c r="G80" i="5"/>
  <c r="G94" i="5"/>
  <c r="G85" i="1" s="1"/>
  <c r="G127" i="5"/>
  <c r="G118" i="1" s="1"/>
  <c r="G143" i="5"/>
  <c r="G139" i="5"/>
  <c r="G130" i="1" s="1"/>
  <c r="G142" i="5"/>
  <c r="G149" i="5"/>
  <c r="G148" i="5"/>
  <c r="G145" i="5"/>
  <c r="G136" i="1" s="1"/>
  <c r="G124" i="5"/>
  <c r="G115" i="1" s="1"/>
  <c r="G108" i="5"/>
  <c r="G99" i="1" s="1"/>
  <c r="G97" i="5"/>
  <c r="G88" i="1" s="1"/>
  <c r="G90" i="5"/>
  <c r="G81" i="1" s="1"/>
  <c r="I48" i="1" l="1"/>
  <c r="O92" i="1"/>
  <c r="N92" i="1"/>
  <c r="O48" i="1"/>
  <c r="K116" i="1"/>
  <c r="Q116" i="1"/>
  <c r="S116" i="1" s="1"/>
  <c r="K131" i="1"/>
  <c r="Q131" i="1"/>
  <c r="S131" i="1" s="1"/>
  <c r="G51" i="5"/>
  <c r="G46" i="1" s="1"/>
  <c r="G48" i="1" s="1"/>
  <c r="G61" i="5"/>
  <c r="G57" i="1" s="1"/>
  <c r="G59" i="5"/>
  <c r="G54" i="1" s="1"/>
  <c r="G137" i="5"/>
  <c r="G154" i="5"/>
  <c r="G144" i="1" s="1"/>
  <c r="G88" i="5"/>
  <c r="G106" i="5"/>
  <c r="G40" i="5"/>
  <c r="G35" i="1" s="1"/>
  <c r="G156" i="5" l="1"/>
  <c r="Q57" i="1"/>
  <c r="O20" i="1" l="1"/>
  <c r="G20" i="1"/>
  <c r="E20" i="1"/>
  <c r="Q19" i="1"/>
  <c r="S19" i="1" s="1"/>
  <c r="E96" i="1"/>
  <c r="G96" i="1" l="1"/>
  <c r="K19" i="1"/>
  <c r="G157" i="5" l="1"/>
  <c r="Q142" i="1" l="1"/>
  <c r="S142" i="1" s="1"/>
  <c r="K142" i="1" l="1"/>
  <c r="L19" i="7" l="1"/>
  <c r="F25" i="7"/>
  <c r="F24" i="7"/>
  <c r="C25" i="7"/>
  <c r="Q2" i="4" l="1"/>
  <c r="O2" i="4"/>
  <c r="M2" i="4"/>
  <c r="K2" i="4"/>
  <c r="I2" i="4"/>
  <c r="G2" i="4"/>
  <c r="E2" i="4"/>
  <c r="K7" i="4" l="1"/>
  <c r="K6" i="4"/>
  <c r="K5" i="4"/>
  <c r="K4" i="4"/>
  <c r="O7" i="4"/>
  <c r="O6" i="4"/>
  <c r="O5" i="4"/>
  <c r="O4" i="4"/>
  <c r="I8" i="4"/>
  <c r="I149" i="1" s="1"/>
  <c r="Q7" i="4" l="1"/>
  <c r="V7" i="4"/>
  <c r="Q6" i="4"/>
  <c r="V6" i="4"/>
  <c r="Q5" i="4"/>
  <c r="V5" i="4"/>
  <c r="Q4" i="4"/>
  <c r="V4" i="4"/>
  <c r="O8" i="4"/>
  <c r="Q149" i="1" s="1"/>
  <c r="M8" i="4"/>
  <c r="O149" i="1" s="1"/>
  <c r="K8" i="4"/>
  <c r="K149" i="1" s="1"/>
  <c r="G8" i="4"/>
  <c r="E8" i="4"/>
  <c r="Q8" i="4" l="1"/>
  <c r="S149" i="1" s="1"/>
  <c r="V8" i="4"/>
  <c r="N143" i="1" s="1"/>
  <c r="O143" i="1" s="1"/>
  <c r="L23" i="7"/>
  <c r="L17" i="7"/>
  <c r="L16" i="7"/>
  <c r="L9" i="7"/>
  <c r="L8" i="7"/>
  <c r="L11" i="7" l="1"/>
  <c r="L18" i="7" l="1"/>
  <c r="L10" i="7"/>
  <c r="L12" i="7" s="1"/>
  <c r="K143" i="1"/>
  <c r="K66" i="1"/>
  <c r="Q71" i="1"/>
  <c r="S71" i="1" s="1"/>
  <c r="K70" i="1"/>
  <c r="L20" i="1"/>
  <c r="F10" i="7"/>
  <c r="B10" i="7"/>
  <c r="L21" i="7" l="1"/>
  <c r="L24" i="7" s="1"/>
  <c r="I36" i="1"/>
  <c r="Q32" i="1"/>
  <c r="S32" i="1" s="1"/>
  <c r="C24" i="7"/>
  <c r="Q141" i="1"/>
  <c r="O96" i="1"/>
  <c r="I96" i="1"/>
  <c r="K71" i="1"/>
  <c r="Q93" i="1"/>
  <c r="S93" i="1" s="1"/>
  <c r="Q70" i="1"/>
  <c r="S70" i="1" s="1"/>
  <c r="Q144" i="1"/>
  <c r="Q143" i="1"/>
  <c r="S143" i="1" s="1"/>
  <c r="Q138" i="1"/>
  <c r="S138" i="1" s="1"/>
  <c r="Q137" i="1"/>
  <c r="S137" i="1" s="1"/>
  <c r="Q136" i="1"/>
  <c r="S136" i="1" s="1"/>
  <c r="Q135" i="1"/>
  <c r="S135" i="1" s="1"/>
  <c r="Q132" i="1"/>
  <c r="S132" i="1" s="1"/>
  <c r="Q130" i="1"/>
  <c r="S130" i="1" s="1"/>
  <c r="Q129" i="1"/>
  <c r="S129" i="1" s="1"/>
  <c r="Q126" i="1"/>
  <c r="S126" i="1" s="1"/>
  <c r="Q125" i="1"/>
  <c r="S125" i="1" s="1"/>
  <c r="Q122" i="1"/>
  <c r="S122" i="1" s="1"/>
  <c r="Q119" i="1"/>
  <c r="S119" i="1" s="1"/>
  <c r="Q118" i="1"/>
  <c r="S118" i="1" s="1"/>
  <c r="Q117" i="1"/>
  <c r="S117" i="1" s="1"/>
  <c r="Q115" i="1"/>
  <c r="S115" i="1" s="1"/>
  <c r="Q114" i="1"/>
  <c r="S114" i="1" s="1"/>
  <c r="Q113" i="1"/>
  <c r="S113" i="1" s="1"/>
  <c r="Q112" i="1"/>
  <c r="S112" i="1" s="1"/>
  <c r="Q111" i="1"/>
  <c r="S111" i="1" s="1"/>
  <c r="Q110" i="1"/>
  <c r="S110" i="1" s="1"/>
  <c r="Q109" i="1"/>
  <c r="S109" i="1" s="1"/>
  <c r="Q106" i="1"/>
  <c r="S106" i="1" s="1"/>
  <c r="Q105" i="1"/>
  <c r="S105" i="1" s="1"/>
  <c r="Q104" i="1"/>
  <c r="S104" i="1" s="1"/>
  <c r="Q103" i="1"/>
  <c r="S103" i="1" s="1"/>
  <c r="Q102" i="1"/>
  <c r="S102" i="1" s="1"/>
  <c r="Q101" i="1"/>
  <c r="S101" i="1" s="1"/>
  <c r="Q100" i="1"/>
  <c r="S100" i="1" s="1"/>
  <c r="Q99" i="1"/>
  <c r="S99" i="1" s="1"/>
  <c r="Q98" i="1"/>
  <c r="S98" i="1" s="1"/>
  <c r="Q95" i="1"/>
  <c r="S95" i="1" s="1"/>
  <c r="Q94" i="1"/>
  <c r="S94" i="1" s="1"/>
  <c r="Q92" i="1"/>
  <c r="S92" i="1" s="1"/>
  <c r="Q91" i="1"/>
  <c r="S91" i="1" s="1"/>
  <c r="Q90" i="1"/>
  <c r="S90" i="1" s="1"/>
  <c r="Q89" i="1"/>
  <c r="S89" i="1" s="1"/>
  <c r="Q88" i="1"/>
  <c r="S88" i="1" s="1"/>
  <c r="Q87" i="1"/>
  <c r="S87" i="1" s="1"/>
  <c r="Q86" i="1"/>
  <c r="S86" i="1" s="1"/>
  <c r="Q85" i="1"/>
  <c r="S85" i="1" s="1"/>
  <c r="Q84" i="1"/>
  <c r="S84" i="1" s="1"/>
  <c r="Q83" i="1"/>
  <c r="S83" i="1" s="1"/>
  <c r="Q82" i="1"/>
  <c r="S82" i="1" s="1"/>
  <c r="Q81" i="1"/>
  <c r="S81" i="1" s="1"/>
  <c r="Q80" i="1"/>
  <c r="Q77" i="1"/>
  <c r="S77" i="1" s="1"/>
  <c r="Q76" i="1"/>
  <c r="S76" i="1" s="1"/>
  <c r="Q75" i="1"/>
  <c r="S75" i="1" s="1"/>
  <c r="Q74" i="1"/>
  <c r="S74" i="1" s="1"/>
  <c r="Q73" i="1"/>
  <c r="S73" i="1" s="1"/>
  <c r="Q68" i="1"/>
  <c r="S68" i="1" s="1"/>
  <c r="Q67" i="1"/>
  <c r="S67" i="1" s="1"/>
  <c r="Q66" i="1"/>
  <c r="S66" i="1" s="1"/>
  <c r="Q62" i="1"/>
  <c r="S62" i="1" s="1"/>
  <c r="Q61" i="1"/>
  <c r="S61" i="1" s="1"/>
  <c r="Q54" i="1"/>
  <c r="S54" i="1" s="1"/>
  <c r="Q53" i="1"/>
  <c r="S53" i="1" s="1"/>
  <c r="Q52" i="1"/>
  <c r="S52" i="1" s="1"/>
  <c r="Q51" i="1"/>
  <c r="S51" i="1" s="1"/>
  <c r="Q50" i="1"/>
  <c r="S50" i="1" s="1"/>
  <c r="Q46" i="1"/>
  <c r="S46" i="1" s="1"/>
  <c r="Q45" i="1"/>
  <c r="Q44" i="1"/>
  <c r="S44" i="1" s="1"/>
  <c r="Q43" i="1"/>
  <c r="S43" i="1" s="1"/>
  <c r="Q42" i="1"/>
  <c r="S42" i="1" s="1"/>
  <c r="Q41" i="1"/>
  <c r="S41" i="1" s="1"/>
  <c r="Q40" i="1"/>
  <c r="S40" i="1" s="1"/>
  <c r="Q38" i="1"/>
  <c r="S38" i="1" s="1"/>
  <c r="Q35" i="1"/>
  <c r="S35" i="1" s="1"/>
  <c r="Q34" i="1"/>
  <c r="S34" i="1" s="1"/>
  <c r="Q31" i="1"/>
  <c r="S31" i="1" s="1"/>
  <c r="Q30" i="1"/>
  <c r="S30" i="1" s="1"/>
  <c r="Q29" i="1"/>
  <c r="S29" i="1" s="1"/>
  <c r="S15" i="1"/>
  <c r="S14" i="1"/>
  <c r="Q9" i="1"/>
  <c r="S9" i="1" s="1"/>
  <c r="Q8" i="1"/>
  <c r="S8" i="1" s="1"/>
  <c r="Q7" i="1"/>
  <c r="S7" i="1" s="1"/>
  <c r="S45" i="1" l="1"/>
  <c r="Q33" i="1"/>
  <c r="S33" i="1" s="1"/>
  <c r="Q22" i="1"/>
  <c r="S22" i="1" s="1"/>
  <c r="S80" i="1"/>
  <c r="S96" i="1" s="1"/>
  <c r="Q96" i="1"/>
  <c r="S12" i="1"/>
  <c r="T40" i="8"/>
  <c r="S141" i="1"/>
  <c r="G25" i="7"/>
  <c r="T41" i="8" s="1"/>
  <c r="S144" i="1"/>
  <c r="P22" i="3"/>
  <c r="P21" i="3"/>
  <c r="P18" i="3"/>
  <c r="O14" i="3"/>
  <c r="P14" i="3" s="1"/>
  <c r="O13" i="3"/>
  <c r="P13" i="3" s="1"/>
  <c r="O6" i="3"/>
  <c r="Q5" i="1" s="1"/>
  <c r="S5" i="1" s="1"/>
  <c r="N23" i="3"/>
  <c r="M23" i="3"/>
  <c r="L23" i="3"/>
  <c r="K23" i="3"/>
  <c r="J23" i="3"/>
  <c r="I23" i="3"/>
  <c r="H23" i="3"/>
  <c r="G23" i="3"/>
  <c r="F23" i="3"/>
  <c r="E23" i="3"/>
  <c r="D23" i="3"/>
  <c r="C23" i="3"/>
  <c r="B23" i="3"/>
  <c r="N19" i="3"/>
  <c r="M19" i="3"/>
  <c r="L19" i="3"/>
  <c r="K19" i="3"/>
  <c r="J19" i="3"/>
  <c r="I19" i="3"/>
  <c r="H19" i="3"/>
  <c r="G19" i="3"/>
  <c r="F19" i="3"/>
  <c r="E19" i="3"/>
  <c r="D19" i="3"/>
  <c r="C19" i="3"/>
  <c r="B19" i="3"/>
  <c r="P17" i="3"/>
  <c r="N15" i="3"/>
  <c r="M15" i="3"/>
  <c r="L15" i="3"/>
  <c r="K15" i="3"/>
  <c r="J15" i="3"/>
  <c r="I15" i="3"/>
  <c r="H15" i="3"/>
  <c r="G15" i="3"/>
  <c r="F15" i="3"/>
  <c r="E15" i="3"/>
  <c r="D15" i="3"/>
  <c r="C15" i="3"/>
  <c r="B15" i="3"/>
  <c r="N7" i="3"/>
  <c r="M7" i="3"/>
  <c r="L7" i="3"/>
  <c r="K7" i="3"/>
  <c r="J7" i="3"/>
  <c r="I7" i="3"/>
  <c r="H7" i="3"/>
  <c r="G7" i="3"/>
  <c r="F7" i="3"/>
  <c r="E7" i="3"/>
  <c r="D7" i="3"/>
  <c r="C7" i="3"/>
  <c r="B7" i="3"/>
  <c r="P5" i="3"/>
  <c r="K138" i="1"/>
  <c r="K137" i="1"/>
  <c r="K136" i="1"/>
  <c r="K135" i="1"/>
  <c r="K132" i="1"/>
  <c r="K130" i="1"/>
  <c r="K129" i="1"/>
  <c r="K126" i="1"/>
  <c r="K125" i="1"/>
  <c r="K122" i="1"/>
  <c r="K119" i="1"/>
  <c r="K118" i="1"/>
  <c r="K117" i="1"/>
  <c r="K115" i="1"/>
  <c r="K114" i="1"/>
  <c r="K113" i="1"/>
  <c r="K112" i="1"/>
  <c r="K111" i="1"/>
  <c r="K110" i="1"/>
  <c r="K109" i="1"/>
  <c r="K106" i="1"/>
  <c r="K105" i="1"/>
  <c r="K104" i="1"/>
  <c r="K103" i="1"/>
  <c r="K102" i="1"/>
  <c r="K101" i="1"/>
  <c r="K100" i="1"/>
  <c r="K99" i="1"/>
  <c r="K98" i="1"/>
  <c r="K95" i="1"/>
  <c r="K94" i="1"/>
  <c r="K93" i="1"/>
  <c r="K92" i="1"/>
  <c r="K91" i="1"/>
  <c r="K90" i="1"/>
  <c r="K89" i="1"/>
  <c r="K88" i="1"/>
  <c r="K87" i="1"/>
  <c r="K86" i="1"/>
  <c r="K85" i="1"/>
  <c r="K84" i="1"/>
  <c r="K83" i="1"/>
  <c r="K82" i="1"/>
  <c r="K81" i="1"/>
  <c r="K80" i="1"/>
  <c r="K77" i="1"/>
  <c r="K76" i="1"/>
  <c r="K75" i="1"/>
  <c r="K74" i="1"/>
  <c r="K73" i="1"/>
  <c r="K69" i="1"/>
  <c r="K68" i="1"/>
  <c r="K67" i="1"/>
  <c r="K65" i="1"/>
  <c r="K64" i="1"/>
  <c r="K62" i="1"/>
  <c r="K61" i="1"/>
  <c r="K54" i="1"/>
  <c r="K53" i="1"/>
  <c r="K52" i="1"/>
  <c r="K51" i="1"/>
  <c r="K50" i="1"/>
  <c r="K45" i="1"/>
  <c r="K44" i="1"/>
  <c r="K43" i="1"/>
  <c r="K42" i="1"/>
  <c r="K41" i="1"/>
  <c r="K40" i="1"/>
  <c r="K38" i="1"/>
  <c r="K46" i="1"/>
  <c r="K35" i="1"/>
  <c r="K34" i="1"/>
  <c r="K33" i="1"/>
  <c r="K32" i="1"/>
  <c r="K31" i="1"/>
  <c r="K30" i="1"/>
  <c r="K29" i="1"/>
  <c r="H25" i="7" l="1"/>
  <c r="U41" i="8" s="1"/>
  <c r="H24" i="7"/>
  <c r="U40" i="8" s="1"/>
  <c r="P23" i="3"/>
  <c r="Q18" i="1"/>
  <c r="Q20" i="1" s="1"/>
  <c r="G10" i="7" s="1"/>
  <c r="T26" i="8" s="1"/>
  <c r="I20" i="1"/>
  <c r="C10" i="7" s="1"/>
  <c r="D10" i="7" s="1"/>
  <c r="K96" i="1"/>
  <c r="P15" i="3"/>
  <c r="O7" i="3"/>
  <c r="P7" i="3" s="1"/>
  <c r="P8" i="3" s="1"/>
  <c r="P19" i="3"/>
  <c r="O15" i="3"/>
  <c r="B24" i="7"/>
  <c r="D24" i="7" s="1"/>
  <c r="K141" i="1"/>
  <c r="K18" i="1"/>
  <c r="K20" i="1" s="1"/>
  <c r="B25" i="7"/>
  <c r="D25" i="7" s="1"/>
  <c r="K144" i="1"/>
  <c r="O23" i="3"/>
  <c r="O19" i="3"/>
  <c r="Q6" i="1"/>
  <c r="S6" i="1" s="1"/>
  <c r="P6" i="3"/>
  <c r="H10" i="7" l="1"/>
  <c r="U26" i="8" s="1"/>
  <c r="S18" i="1"/>
  <c r="S20" i="1" s="1"/>
  <c r="P24" i="3"/>
  <c r="K123" i="1" l="1"/>
  <c r="K22" i="1"/>
  <c r="K23" i="1" s="1"/>
  <c r="K15" i="1"/>
  <c r="K14" i="1"/>
  <c r="K13" i="1"/>
  <c r="K12" i="1"/>
  <c r="K9" i="1"/>
  <c r="K8" i="1"/>
  <c r="K7" i="1"/>
  <c r="K6" i="1"/>
  <c r="K5" i="1"/>
  <c r="G145" i="1"/>
  <c r="I145" i="1"/>
  <c r="L145" i="1"/>
  <c r="O145" i="1"/>
  <c r="Q145" i="1"/>
  <c r="S145" i="1"/>
  <c r="G139" i="1"/>
  <c r="B23" i="7" s="1"/>
  <c r="I139" i="1"/>
  <c r="C23" i="7" s="1"/>
  <c r="L139" i="1"/>
  <c r="O139" i="1"/>
  <c r="Q139" i="1"/>
  <c r="G23" i="7" s="1"/>
  <c r="T39" i="8" s="1"/>
  <c r="S139" i="1"/>
  <c r="G133" i="1"/>
  <c r="B22" i="7" s="1"/>
  <c r="I133" i="1"/>
  <c r="C22" i="7" s="1"/>
  <c r="L133" i="1"/>
  <c r="O133" i="1"/>
  <c r="Q133" i="1"/>
  <c r="G22" i="7" s="1"/>
  <c r="T38" i="8" s="1"/>
  <c r="S133" i="1"/>
  <c r="G127" i="1"/>
  <c r="B21" i="7" s="1"/>
  <c r="I127" i="1"/>
  <c r="C21" i="7" s="1"/>
  <c r="L127" i="1"/>
  <c r="O127" i="1"/>
  <c r="Q127" i="1"/>
  <c r="G21" i="7" s="1"/>
  <c r="T37" i="8" s="1"/>
  <c r="S127" i="1"/>
  <c r="G123" i="1"/>
  <c r="B20" i="7" s="1"/>
  <c r="I123" i="1"/>
  <c r="C20" i="7" s="1"/>
  <c r="L123" i="1"/>
  <c r="O123" i="1"/>
  <c r="Q123" i="1"/>
  <c r="G20" i="7" s="1"/>
  <c r="T36" i="8" s="1"/>
  <c r="S123" i="1"/>
  <c r="G120" i="1"/>
  <c r="B19" i="7" s="1"/>
  <c r="I120" i="1"/>
  <c r="C19" i="7" s="1"/>
  <c r="L120" i="1"/>
  <c r="O120" i="1"/>
  <c r="Q120" i="1"/>
  <c r="G19" i="7" s="1"/>
  <c r="T35" i="8" s="1"/>
  <c r="S120" i="1"/>
  <c r="G107" i="1"/>
  <c r="B18" i="7" s="1"/>
  <c r="I107" i="1"/>
  <c r="C18" i="7" s="1"/>
  <c r="L107" i="1"/>
  <c r="O107" i="1"/>
  <c r="Q107" i="1"/>
  <c r="G18" i="7" s="1"/>
  <c r="T34" i="8" s="1"/>
  <c r="S107" i="1"/>
  <c r="B17" i="7"/>
  <c r="C17" i="7"/>
  <c r="L96" i="1"/>
  <c r="G17" i="7"/>
  <c r="T33" i="8" s="1"/>
  <c r="G78" i="1"/>
  <c r="B16" i="7" s="1"/>
  <c r="I78" i="1"/>
  <c r="C16" i="7" s="1"/>
  <c r="L78" i="1"/>
  <c r="G58" i="1"/>
  <c r="L58" i="1"/>
  <c r="G55" i="1"/>
  <c r="I55" i="1"/>
  <c r="L55" i="1"/>
  <c r="O55" i="1"/>
  <c r="Q55" i="1"/>
  <c r="S55" i="1"/>
  <c r="L48" i="1"/>
  <c r="G36" i="1"/>
  <c r="L36" i="1"/>
  <c r="O36" i="1"/>
  <c r="Q36" i="1"/>
  <c r="S36" i="1"/>
  <c r="G23" i="1"/>
  <c r="B11" i="7" s="1"/>
  <c r="I23" i="1"/>
  <c r="C11" i="7" s="1"/>
  <c r="L23" i="1"/>
  <c r="O23" i="1"/>
  <c r="Q23" i="1"/>
  <c r="G11" i="7" s="1"/>
  <c r="T27" i="8" s="1"/>
  <c r="S23" i="1"/>
  <c r="G16" i="1"/>
  <c r="B9" i="7" s="1"/>
  <c r="I16" i="1"/>
  <c r="C9" i="7" s="1"/>
  <c r="L16" i="1"/>
  <c r="L10" i="1"/>
  <c r="O10" i="1"/>
  <c r="Q10" i="1"/>
  <c r="G8" i="7" s="1"/>
  <c r="T24" i="8" s="1"/>
  <c r="S10" i="1"/>
  <c r="G10" i="1"/>
  <c r="I10" i="1"/>
  <c r="C8" i="7" s="1"/>
  <c r="D9" i="7" l="1"/>
  <c r="D23" i="7"/>
  <c r="D19" i="7"/>
  <c r="D18" i="7"/>
  <c r="D22" i="7"/>
  <c r="K145" i="1"/>
  <c r="D17" i="7"/>
  <c r="G24" i="1"/>
  <c r="B8" i="7"/>
  <c r="B12" i="7" s="1"/>
  <c r="D21" i="7"/>
  <c r="C12" i="7"/>
  <c r="D11" i="7"/>
  <c r="D16" i="7"/>
  <c r="D20" i="7"/>
  <c r="I24" i="1"/>
  <c r="L24" i="1"/>
  <c r="K127" i="1"/>
  <c r="L59" i="1"/>
  <c r="L146" i="1" s="1"/>
  <c r="K133" i="1"/>
  <c r="K120" i="1"/>
  <c r="K107" i="1"/>
  <c r="K55" i="1"/>
  <c r="K78" i="1"/>
  <c r="K139" i="1"/>
  <c r="G59" i="1"/>
  <c r="K10" i="1"/>
  <c r="K16" i="1"/>
  <c r="K36" i="1"/>
  <c r="L147" i="1" l="1"/>
  <c r="G146" i="1"/>
  <c r="G147" i="1" s="1"/>
  <c r="G151" i="1" s="1"/>
  <c r="B15" i="7"/>
  <c r="D8" i="7"/>
  <c r="D12" i="7" s="1"/>
  <c r="K24" i="1"/>
  <c r="B26" i="7" l="1"/>
  <c r="B28" i="7" s="1"/>
  <c r="E145" i="1"/>
  <c r="E139" i="1"/>
  <c r="F23" i="7" s="1"/>
  <c r="H23" i="7" s="1"/>
  <c r="U39" i="8" s="1"/>
  <c r="E133" i="1"/>
  <c r="F22" i="7" s="1"/>
  <c r="H22" i="7" s="1"/>
  <c r="U38" i="8" s="1"/>
  <c r="E127" i="1"/>
  <c r="F21" i="7" s="1"/>
  <c r="H21" i="7" s="1"/>
  <c r="U37" i="8" s="1"/>
  <c r="E123" i="1"/>
  <c r="F20" i="7" s="1"/>
  <c r="H20" i="7" s="1"/>
  <c r="U36" i="8" s="1"/>
  <c r="E120" i="1"/>
  <c r="F19" i="7" s="1"/>
  <c r="H19" i="7" s="1"/>
  <c r="U35" i="8" s="1"/>
  <c r="E107" i="1"/>
  <c r="F18" i="7" s="1"/>
  <c r="H18" i="7" s="1"/>
  <c r="U34" i="8" s="1"/>
  <c r="F17" i="7"/>
  <c r="H17" i="7" s="1"/>
  <c r="U33" i="8" s="1"/>
  <c r="E78" i="1"/>
  <c r="F16" i="7" s="1"/>
  <c r="E58" i="1"/>
  <c r="E55" i="1"/>
  <c r="E36" i="1"/>
  <c r="E23" i="1"/>
  <c r="E16" i="1"/>
  <c r="F9" i="7" s="1"/>
  <c r="E10" i="1"/>
  <c r="F8" i="7" s="1"/>
  <c r="F11" i="7" l="1"/>
  <c r="H11" i="7" s="1"/>
  <c r="U27" i="8" s="1"/>
  <c r="E24" i="1"/>
  <c r="H8" i="7"/>
  <c r="U24" i="8" s="1"/>
  <c r="E59" i="1"/>
  <c r="F15" i="7" s="1"/>
  <c r="F12" i="7" l="1"/>
  <c r="F26" i="7"/>
  <c r="E146" i="1"/>
  <c r="E147" i="1" s="1"/>
  <c r="E151" i="1" s="1"/>
  <c r="F28" i="7" l="1"/>
  <c r="K57" i="1" l="1"/>
  <c r="K58" i="1" s="1"/>
  <c r="O58" i="1"/>
  <c r="I58" i="1"/>
  <c r="S57" i="1"/>
  <c r="S58" i="1" s="1"/>
  <c r="Q58" i="1" l="1"/>
  <c r="K39" i="1" l="1"/>
  <c r="Q39" i="1"/>
  <c r="Q48" i="1" s="1"/>
  <c r="O59" i="1"/>
  <c r="K59" i="1" l="1"/>
  <c r="K146" i="1" s="1"/>
  <c r="K147" i="1" s="1"/>
  <c r="K151" i="1" s="1"/>
  <c r="K48" i="1"/>
  <c r="N65" i="1"/>
  <c r="O65" i="1" s="1"/>
  <c r="Q65" i="1" s="1"/>
  <c r="S65" i="1" s="1"/>
  <c r="N64" i="1"/>
  <c r="O64" i="1" s="1"/>
  <c r="I59" i="1"/>
  <c r="C15" i="7" s="1"/>
  <c r="D15" i="7" s="1"/>
  <c r="D26" i="7" s="1"/>
  <c r="D28" i="7" s="1"/>
  <c r="Q69" i="1"/>
  <c r="S69" i="1" s="1"/>
  <c r="S39" i="1"/>
  <c r="Q59" i="1"/>
  <c r="G15" i="7" s="1"/>
  <c r="T31" i="8" s="1"/>
  <c r="S48" i="1" l="1"/>
  <c r="S59" i="1" s="1"/>
  <c r="H15" i="7"/>
  <c r="U31" i="8" s="1"/>
  <c r="I146" i="1"/>
  <c r="I147" i="1" s="1"/>
  <c r="I151" i="1" s="1"/>
  <c r="C26" i="7"/>
  <c r="C28" i="7" s="1"/>
  <c r="Q64" i="1"/>
  <c r="O78" i="1"/>
  <c r="O146" i="1" s="1"/>
  <c r="S64" i="1" l="1"/>
  <c r="S78" i="1" s="1"/>
  <c r="S146" i="1" s="1"/>
  <c r="Q78" i="1"/>
  <c r="G16" i="7" l="1"/>
  <c r="T32" i="8" s="1"/>
  <c r="T42" i="8" s="1"/>
  <c r="Q146" i="1"/>
  <c r="H16" i="7" l="1"/>
  <c r="U32" i="8" s="1"/>
  <c r="U42" i="8" s="1"/>
  <c r="G26" i="7"/>
  <c r="O16" i="1"/>
  <c r="O24" i="1" s="1"/>
  <c r="O147" i="1" s="1"/>
  <c r="O151" i="1" s="1"/>
  <c r="Q13" i="1"/>
  <c r="Q16" i="1" s="1"/>
  <c r="H26" i="7" l="1"/>
  <c r="Q24" i="1"/>
  <c r="Q147" i="1" s="1"/>
  <c r="Q151" i="1" s="1"/>
  <c r="G9" i="7"/>
  <c r="T25" i="8" s="1"/>
  <c r="T28" i="8" s="1"/>
  <c r="T44" i="8" s="1"/>
  <c r="S13" i="1"/>
  <c r="S16" i="1" s="1"/>
  <c r="S24" i="1" s="1"/>
  <c r="S147" i="1" s="1"/>
  <c r="S151" i="1" s="1"/>
  <c r="G12" i="7" l="1"/>
  <c r="G28" i="7" s="1"/>
  <c r="H9" i="7"/>
  <c r="U25" i="8" s="1"/>
  <c r="U28" i="8" s="1"/>
  <c r="U44" i="8" s="1"/>
  <c r="H12" i="7" l="1"/>
  <c r="H28" i="7" s="1"/>
</calcChain>
</file>

<file path=xl/sharedStrings.xml><?xml version="1.0" encoding="utf-8"?>
<sst xmlns="http://schemas.openxmlformats.org/spreadsheetml/2006/main" count="805" uniqueCount="563">
  <si>
    <t xml:space="preserve"> </t>
  </si>
  <si>
    <t>4100 · State Grants</t>
  </si>
  <si>
    <t>Per Pupil Aid - General Education</t>
  </si>
  <si>
    <t>Per Pupil Aid - Special Education</t>
  </si>
  <si>
    <t>NYSTL</t>
  </si>
  <si>
    <t>NYSSL</t>
  </si>
  <si>
    <t>NYSLIBL</t>
  </si>
  <si>
    <t>Subtotal</t>
  </si>
  <si>
    <t>4200 · Federal Grants</t>
  </si>
  <si>
    <t xml:space="preserve">Title I </t>
  </si>
  <si>
    <t xml:space="preserve">Title IIA </t>
  </si>
  <si>
    <t>IDEA for Special Education</t>
  </si>
  <si>
    <t>E-Rate</t>
  </si>
  <si>
    <t>4300 · Contributions</t>
  </si>
  <si>
    <t>4500 · Misc. Revenues</t>
  </si>
  <si>
    <t>TOTAL REVENUE</t>
  </si>
  <si>
    <t>5000 · Personnel Expenses</t>
  </si>
  <si>
    <t>5100 · Administrative Staff</t>
  </si>
  <si>
    <t xml:space="preserve">5200 · Instructional Staff </t>
  </si>
  <si>
    <t xml:space="preserve">5300 · Special Education </t>
  </si>
  <si>
    <t>6000 · Benefits</t>
  </si>
  <si>
    <t>State Unemployment Insurance (SUI)</t>
  </si>
  <si>
    <t>Disability Expense</t>
  </si>
  <si>
    <t>Social Security - ER</t>
  </si>
  <si>
    <t>Medicare - ER</t>
  </si>
  <si>
    <t>401(K) Employer Match</t>
  </si>
  <si>
    <t>401(K) Fees</t>
  </si>
  <si>
    <t>Metro Commuter Tax</t>
  </si>
  <si>
    <t>Personnel Insurance</t>
  </si>
  <si>
    <t>6019a Medical</t>
  </si>
  <si>
    <t>6019b Dental</t>
  </si>
  <si>
    <t>6019c Vision</t>
  </si>
  <si>
    <t>6100 · Direct Educational Expenses</t>
  </si>
  <si>
    <t>7000 · Administrative Expenses</t>
  </si>
  <si>
    <t>7100 · Professional Services</t>
  </si>
  <si>
    <t>7200 · Insurance</t>
  </si>
  <si>
    <t xml:space="preserve">7300 · Professional Development </t>
  </si>
  <si>
    <t>7400 · Marketing &amp; Recruitment</t>
  </si>
  <si>
    <t>8100 · Facilities</t>
  </si>
  <si>
    <t>8800 · Misc Expenses</t>
  </si>
  <si>
    <t>Depreciation Expense</t>
  </si>
  <si>
    <t>TOTAL EXPENSES</t>
  </si>
  <si>
    <t>Principal</t>
  </si>
  <si>
    <t>Director of Operations</t>
  </si>
  <si>
    <t>Business Manager</t>
  </si>
  <si>
    <t>Recruitment Manager</t>
  </si>
  <si>
    <t>Operations Associate</t>
  </si>
  <si>
    <t>Office Manager</t>
  </si>
  <si>
    <t>Assistant Principals</t>
  </si>
  <si>
    <t>Fifth Grade Teachers</t>
  </si>
  <si>
    <t>ELA</t>
  </si>
  <si>
    <t>Math</t>
  </si>
  <si>
    <t>Science</t>
  </si>
  <si>
    <t>Social Studies</t>
  </si>
  <si>
    <t>Specials</t>
  </si>
  <si>
    <t>Coaches</t>
  </si>
  <si>
    <t>Dean of Students</t>
  </si>
  <si>
    <t>HS Placement</t>
  </si>
  <si>
    <t>Learning Specialists</t>
  </si>
  <si>
    <t>Counselor</t>
  </si>
  <si>
    <t>Social Worker</t>
  </si>
  <si>
    <t>SETSS Teacher</t>
  </si>
  <si>
    <t>ELL Teacher</t>
  </si>
  <si>
    <t>Classroom Supplies</t>
  </si>
  <si>
    <t>Textbooks &amp; Materials</t>
  </si>
  <si>
    <t>Classroom Libraries</t>
  </si>
  <si>
    <t>Assessment Expenses</t>
  </si>
  <si>
    <t>Field Trips</t>
  </si>
  <si>
    <t>Student Transportation</t>
  </si>
  <si>
    <t>Food Services - School Meals</t>
  </si>
  <si>
    <t>Student Incentives/Events</t>
  </si>
  <si>
    <t>Enrichment/Afterschool Supplies</t>
  </si>
  <si>
    <t>Student Software</t>
  </si>
  <si>
    <t>Curriculum</t>
  </si>
  <si>
    <t>Student Uniforms</t>
  </si>
  <si>
    <t>Snacks</t>
  </si>
  <si>
    <t>Office Supplies</t>
  </si>
  <si>
    <t>Phone &amp; Internet</t>
  </si>
  <si>
    <t>Postage &amp; Delivery</t>
  </si>
  <si>
    <t>Printing &amp; Copying</t>
  </si>
  <si>
    <t>Copier Lease</t>
  </si>
  <si>
    <t>Staff Food/Events/Gifts</t>
  </si>
  <si>
    <t>Staff Travel</t>
  </si>
  <si>
    <t>Subscriptions &amp; Dues</t>
  </si>
  <si>
    <t>Non Capitalized Furniture &amp; Equipment</t>
  </si>
  <si>
    <t>Audit/Accounting</t>
  </si>
  <si>
    <t>Financial Management</t>
  </si>
  <si>
    <t xml:space="preserve">Technology </t>
  </si>
  <si>
    <t>Payroll Fees</t>
  </si>
  <si>
    <t>Legal - Paid</t>
  </si>
  <si>
    <t>Substitute Teachers</t>
  </si>
  <si>
    <t>Other Consultants</t>
  </si>
  <si>
    <t>Curriculum Development</t>
  </si>
  <si>
    <t>Special Classes</t>
  </si>
  <si>
    <t>Special Education Services</t>
  </si>
  <si>
    <t>General Liability</t>
  </si>
  <si>
    <t>Instructional PD</t>
  </si>
  <si>
    <t>Board PD/Strategic Planning</t>
  </si>
  <si>
    <t>Student Recruitment</t>
  </si>
  <si>
    <t>Staff Recruitment</t>
  </si>
  <si>
    <t>Marketing</t>
  </si>
  <si>
    <t>Signage</t>
  </si>
  <si>
    <t>Bank Fees</t>
  </si>
  <si>
    <t>Contingency</t>
  </si>
  <si>
    <t>Interest Income</t>
  </si>
  <si>
    <t>Revenue</t>
  </si>
  <si>
    <t>Expenses</t>
  </si>
  <si>
    <t>Stipends</t>
  </si>
  <si>
    <t xml:space="preserve">5500 · Stipends </t>
  </si>
  <si>
    <t>Total Salaries</t>
  </si>
  <si>
    <t>Net Income (Deficit)/Surplus</t>
  </si>
  <si>
    <t>Notes</t>
  </si>
  <si>
    <t>Grades</t>
  </si>
  <si>
    <t>General Education</t>
  </si>
  <si>
    <t>K</t>
  </si>
  <si>
    <t>Total # of Students</t>
  </si>
  <si>
    <t>Budget</t>
  </si>
  <si>
    <t>Actual FTE</t>
  </si>
  <si>
    <t>Variance</t>
  </si>
  <si>
    <t>Total Variance</t>
  </si>
  <si>
    <t>Special Education Category</t>
  </si>
  <si>
    <t>Less than 20% Budget</t>
  </si>
  <si>
    <t>Less than 20% Actual FTE</t>
  </si>
  <si>
    <t>Less than 20% Variance</t>
  </si>
  <si>
    <t>SPED 20% - 59% Budget</t>
  </si>
  <si>
    <t>SPED 20% - 59% Actual FTE</t>
  </si>
  <si>
    <t>SPED 20% - 59% Variance</t>
  </si>
  <si>
    <t>SPED 60% - 100% Budget</t>
  </si>
  <si>
    <t>SPED 60% - 100% Actual FTE</t>
  </si>
  <si>
    <t>SPED 60% - 100% Variance</t>
  </si>
  <si>
    <t>ST. HOPE LEADERSHIP ACADEMY</t>
  </si>
  <si>
    <t>Total</t>
  </si>
  <si>
    <t>Income</t>
  </si>
  <si>
    <t>Total Income</t>
  </si>
  <si>
    <t>Gross Profit</t>
  </si>
  <si>
    <t>Total Expenses</t>
  </si>
  <si>
    <t>Net Income</t>
  </si>
  <si>
    <t>Benefit Portal Fee</t>
  </si>
  <si>
    <t>ASSETS</t>
  </si>
  <si>
    <t xml:space="preserve">   Current Assets</t>
  </si>
  <si>
    <t xml:space="preserve">      Bank Accounts</t>
  </si>
  <si>
    <t xml:space="preserve">         10010 CHECKING_BA-7941</t>
  </si>
  <si>
    <t xml:space="preserve">         10015 ESCROW_BA-5056</t>
  </si>
  <si>
    <t xml:space="preserve">         10020 SAVINGS_CS-8490</t>
  </si>
  <si>
    <t xml:space="preserve">      Total Bank Accounts</t>
  </si>
  <si>
    <t xml:space="preserve">      Accounts Receivable</t>
  </si>
  <si>
    <t xml:space="preserve">         11001 Accounts Receivable</t>
  </si>
  <si>
    <t xml:space="preserve">      Total Accounts Receivable</t>
  </si>
  <si>
    <t xml:space="preserve">      Other Current Assets</t>
  </si>
  <si>
    <t xml:space="preserve">         11000 Prepaid Expenses</t>
  </si>
  <si>
    <t xml:space="preserve">            11015 Prepaid Insurance</t>
  </si>
  <si>
    <t xml:space="preserve">            11020 Prepaid Expenses</t>
  </si>
  <si>
    <t xml:space="preserve">         Total 11000 Prepaid Expenses</t>
  </si>
  <si>
    <t xml:space="preserve">         11050 TransitChek</t>
  </si>
  <si>
    <t xml:space="preserve">         12000 Undeposited Funds</t>
  </si>
  <si>
    <t xml:space="preserve">         13000 Loan to Employee</t>
  </si>
  <si>
    <t xml:space="preserve">      Total Other Current Assets</t>
  </si>
  <si>
    <t xml:space="preserve">   Total Current Assets</t>
  </si>
  <si>
    <t xml:space="preserve">   Fixed Assets</t>
  </si>
  <si>
    <t xml:space="preserve">      14000 Server and Computers</t>
  </si>
  <si>
    <t xml:space="preserve">         14000a A/D Servers and Computers</t>
  </si>
  <si>
    <t xml:space="preserve">      Total 14000 Server and Computers</t>
  </si>
  <si>
    <t xml:space="preserve">      15000 Furniture and Equipment</t>
  </si>
  <si>
    <t xml:space="preserve">         15000a A/D Furniture and Equipment</t>
  </si>
  <si>
    <t xml:space="preserve">      Total 15000 Furniture and Equipment</t>
  </si>
  <si>
    <t xml:space="preserve">      16000 Software</t>
  </si>
  <si>
    <t xml:space="preserve">         16000a A/D Software</t>
  </si>
  <si>
    <t xml:space="preserve">      Total 16000 Software</t>
  </si>
  <si>
    <t xml:space="preserve">      17000 Leaseholds  Improvements</t>
  </si>
  <si>
    <t xml:space="preserve">         17000a A/D Leasehold Improvements</t>
  </si>
  <si>
    <t xml:space="preserve">      Total 17000 Leaseholds  Improvements</t>
  </si>
  <si>
    <t xml:space="preserve">   Total Fixed Assets</t>
  </si>
  <si>
    <t xml:space="preserve">   Other Assets</t>
  </si>
  <si>
    <t xml:space="preserve">      18700 Security Deposits Asset</t>
  </si>
  <si>
    <t xml:space="preserve">   Total Other Assets</t>
  </si>
  <si>
    <t>TOTAL ASSETS</t>
  </si>
  <si>
    <t>LIABILITIES AND EQUITY</t>
  </si>
  <si>
    <t xml:space="preserve">   Liabilities</t>
  </si>
  <si>
    <t xml:space="preserve">      Current Liabilities</t>
  </si>
  <si>
    <t xml:space="preserve">         Accounts Payable</t>
  </si>
  <si>
    <t xml:space="preserve">            20000 Accounts Payable</t>
  </si>
  <si>
    <t xml:space="preserve">         Total Accounts Payable</t>
  </si>
  <si>
    <t xml:space="preserve">         Credit Cards</t>
  </si>
  <si>
    <t xml:space="preserve">            21000 Amex-61005</t>
  </si>
  <si>
    <t xml:space="preserve">            21001 Amex-61004/62002</t>
  </si>
  <si>
    <t xml:space="preserve">         Total Credit Cards</t>
  </si>
  <si>
    <t xml:space="preserve">         Other Current Liabilities</t>
  </si>
  <si>
    <t xml:space="preserve">            23000 Suspense Payroll Taxes</t>
  </si>
  <si>
    <t xml:space="preserve">            24000 Payroll Liabilities</t>
  </si>
  <si>
    <t xml:space="preserve">               24005 Accrued Payroll</t>
  </si>
  <si>
    <t xml:space="preserve">               24010 Accrued Payroll Taxes</t>
  </si>
  <si>
    <t xml:space="preserve">               24015 Federal Payroll Taxes</t>
  </si>
  <si>
    <t xml:space="preserve">               24050 Flex Spending Account</t>
  </si>
  <si>
    <t xml:space="preserve">               24055 TransitChek Clearing</t>
  </si>
  <si>
    <t xml:space="preserve">            Total 24000 Payroll Liabilities</t>
  </si>
  <si>
    <t xml:space="preserve">            25000 Accrued Expenses</t>
  </si>
  <si>
    <t xml:space="preserve">            26000 Unearned Grant Revenue</t>
  </si>
  <si>
    <t xml:space="preserve">            27000 Advance Reimbursements</t>
  </si>
  <si>
    <t xml:space="preserve">         Total Other Current Liabilities</t>
  </si>
  <si>
    <t xml:space="preserve">      Total Current Liabilities</t>
  </si>
  <si>
    <t xml:space="preserve">   Total Liabilities</t>
  </si>
  <si>
    <t xml:space="preserve">   Equity</t>
  </si>
  <si>
    <t xml:space="preserve">      32000 Unrestricted Net Assets</t>
  </si>
  <si>
    <t xml:space="preserve">      Net Income</t>
  </si>
  <si>
    <t xml:space="preserve">   Total Equity</t>
  </si>
  <si>
    <t>TOTAL LIABILITIES AND EQUITY</t>
  </si>
  <si>
    <t>6.2% of compensation.</t>
  </si>
  <si>
    <t>1.45% of compensation.</t>
  </si>
  <si>
    <t xml:space="preserve">Based on actual annual bill. </t>
  </si>
  <si>
    <t>Projection based on actual salaries.</t>
  </si>
  <si>
    <t xml:space="preserve">Projection based on average monthly costs. </t>
  </si>
  <si>
    <t xml:space="preserve">Assumes contingency budget will not be used. </t>
  </si>
  <si>
    <t>Individual Contributions</t>
  </si>
  <si>
    <t>Garnishment Exchange</t>
  </si>
  <si>
    <t>Projection based on average monthly costs. ERATE will offset this cost when approved.</t>
  </si>
  <si>
    <t>Assets</t>
  </si>
  <si>
    <t>4100 State Grants</t>
  </si>
  <si>
    <t>4200 Federal Grants</t>
  </si>
  <si>
    <t>4300 Contributions</t>
  </si>
  <si>
    <t>Total Revenue</t>
  </si>
  <si>
    <t>Total Assets</t>
  </si>
  <si>
    <t>Expense</t>
  </si>
  <si>
    <t>5000 Personnel</t>
  </si>
  <si>
    <t>Liabilities</t>
  </si>
  <si>
    <t>Total Liabilities</t>
  </si>
  <si>
    <t>Total Equity</t>
  </si>
  <si>
    <t>8100 Facility Expenses</t>
  </si>
  <si>
    <t>Total Equity/Liabilities</t>
  </si>
  <si>
    <t>8800 Miscellaneous</t>
  </si>
  <si>
    <t>Total Expense</t>
  </si>
  <si>
    <t>REVENUE</t>
  </si>
  <si>
    <t>Federal Grants</t>
  </si>
  <si>
    <t>Contributions</t>
  </si>
  <si>
    <t>Miscellaneous Revenues</t>
  </si>
  <si>
    <t>EXPENSES</t>
  </si>
  <si>
    <t>Personnel</t>
  </si>
  <si>
    <t>Benefits</t>
  </si>
  <si>
    <t>Professional Services</t>
  </si>
  <si>
    <t>Professional Development</t>
  </si>
  <si>
    <t>Facility Expenses</t>
  </si>
  <si>
    <t>Cash</t>
  </si>
  <si>
    <t>This includes all cash accounts that the school holds. Every two months, the Per Pupil allocation from NYC is deposited to the main checking based on the FTE invoices that the school provides.</t>
  </si>
  <si>
    <t>Accounts Receivable</t>
  </si>
  <si>
    <t xml:space="preserve">This represents the Accrued Revenue based on the grant spending in the P&amp;L analysis above.  This will be cleared out when the grant administrating authorities are billed and subsequent payments are received. </t>
  </si>
  <si>
    <t>Prepaid Expenses/Other Current Assets</t>
  </si>
  <si>
    <t>These balances relate to prepaid expenses and prepaid insurance.  This means that the expense was paid in advance and based on the policy time frame, the expenses are recorded each month and the asset is decreased.</t>
  </si>
  <si>
    <t>Fixed Assets</t>
  </si>
  <si>
    <t>Fixed assets are capitalized rather than expensed.  They will remain on the Balance Sheet and are depreciated over the useful life of the asset.</t>
  </si>
  <si>
    <t>Accounts Payable</t>
  </si>
  <si>
    <t>Deferred Revenue</t>
  </si>
  <si>
    <r>
      <rPr>
        <b/>
        <sz val="11"/>
        <color indexed="8"/>
        <rFont val="Calibri"/>
        <family val="2"/>
        <scheme val="minor"/>
      </rPr>
      <t>State Grants</t>
    </r>
    <r>
      <rPr>
        <sz val="11"/>
        <color indexed="8"/>
        <rFont val="Calibri"/>
        <family val="2"/>
        <scheme val="minor"/>
      </rPr>
      <t xml:space="preserve"> </t>
    </r>
  </si>
  <si>
    <r>
      <t xml:space="preserve">Annual
</t>
    </r>
    <r>
      <rPr>
        <u/>
        <sz val="11"/>
        <color theme="1"/>
        <rFont val="Calibri"/>
        <family val="2"/>
        <scheme val="minor"/>
      </rPr>
      <t>Budget</t>
    </r>
  </si>
  <si>
    <t>4500 Miscellaneous Revenues</t>
  </si>
  <si>
    <t>6000 Benefits</t>
  </si>
  <si>
    <t>6100 Direct Educational Expenses</t>
  </si>
  <si>
    <t>7000 Administrative Expenses</t>
  </si>
  <si>
    <t>7100 Professional Services</t>
  </si>
  <si>
    <t>7200 Insurance</t>
  </si>
  <si>
    <t>7300 Professional Development</t>
  </si>
  <si>
    <t>7400 Marketing &amp; Recruitment</t>
  </si>
  <si>
    <t>Prepaids/Other Current Assets</t>
  </si>
  <si>
    <t>Credit Cards</t>
  </si>
  <si>
    <t>Accrued Expenses</t>
  </si>
  <si>
    <t>Unearned Revenue</t>
  </si>
  <si>
    <t xml:space="preserve">Category ahead of budget due to small individual donations. </t>
  </si>
  <si>
    <t>Direct Educational Expenses</t>
  </si>
  <si>
    <t>Administrative Expenses</t>
  </si>
  <si>
    <t>Insurance</t>
  </si>
  <si>
    <t>Marketing &amp; Recruitment</t>
  </si>
  <si>
    <t>Annual Projected
Variance</t>
  </si>
  <si>
    <t>Suspense Account</t>
  </si>
  <si>
    <t>Title grants</t>
  </si>
  <si>
    <t>Commercial insurance</t>
  </si>
  <si>
    <t>In Kind Contributions</t>
  </si>
  <si>
    <t xml:space="preserve">   4000 All Revenues</t>
  </si>
  <si>
    <t xml:space="preserve">      4100 State Grants</t>
  </si>
  <si>
    <t xml:space="preserve">         4101 PPA</t>
  </si>
  <si>
    <t xml:space="preserve">         4102 PPA Special Education</t>
  </si>
  <si>
    <t xml:space="preserve">         4103 NYSTL</t>
  </si>
  <si>
    <t xml:space="preserve">         4104 NYSSL</t>
  </si>
  <si>
    <t xml:space="preserve">         4105 NYSLIBL</t>
  </si>
  <si>
    <t xml:space="preserve">      Total 4100 State Grants</t>
  </si>
  <si>
    <t xml:space="preserve">      4200 Federal Grants</t>
  </si>
  <si>
    <t xml:space="preserve">         4201 Title I</t>
  </si>
  <si>
    <t xml:space="preserve">         4203 Title IIA</t>
  </si>
  <si>
    <t xml:space="preserve">         4204 IDEA Special Education</t>
  </si>
  <si>
    <t xml:space="preserve">         4205 E-RATE</t>
  </si>
  <si>
    <t xml:space="preserve">      Total 4200 Federal Grants</t>
  </si>
  <si>
    <t xml:space="preserve">         4301 Individ, Business Contributions</t>
  </si>
  <si>
    <t xml:space="preserve">   Total 4000 All Revenues</t>
  </si>
  <si>
    <t xml:space="preserve">   5000 Salaries Expense</t>
  </si>
  <si>
    <t xml:space="preserve">      5100 Administrative Staff</t>
  </si>
  <si>
    <t xml:space="preserve">         5101 Principal</t>
  </si>
  <si>
    <t xml:space="preserve">         5102 Director of Operations</t>
  </si>
  <si>
    <t xml:space="preserve">         5103 Business Manager</t>
  </si>
  <si>
    <t xml:space="preserve">         5105 Recruitment Manager</t>
  </si>
  <si>
    <t xml:space="preserve">         5106 Operations Associate</t>
  </si>
  <si>
    <t xml:space="preserve">         5107 Office Manager</t>
  </si>
  <si>
    <t xml:space="preserve">         5109 Assistant Principal</t>
  </si>
  <si>
    <t xml:space="preserve">      Total 5100 Administrative Staff</t>
  </si>
  <si>
    <t xml:space="preserve">      5200 Instructional Staff</t>
  </si>
  <si>
    <t xml:space="preserve">         5201 Fifth Grade Teachers</t>
  </si>
  <si>
    <t xml:space="preserve">         5202 ELA</t>
  </si>
  <si>
    <t xml:space="preserve">         5203 Math</t>
  </si>
  <si>
    <t xml:space="preserve">         5204 Science</t>
  </si>
  <si>
    <t xml:space="preserve">         5205 Social Studies</t>
  </si>
  <si>
    <t xml:space="preserve">         5206 Specials</t>
  </si>
  <si>
    <t xml:space="preserve">         5207 Coaches</t>
  </si>
  <si>
    <t xml:space="preserve">         5208 Dean of Students</t>
  </si>
  <si>
    <t xml:space="preserve">         5209 HS Placement</t>
  </si>
  <si>
    <t xml:space="preserve">      Total 5200 Instructional Staff</t>
  </si>
  <si>
    <t xml:space="preserve">      5300 Special Education</t>
  </si>
  <si>
    <t xml:space="preserve">         5301 Learning Specialists</t>
  </si>
  <si>
    <t xml:space="preserve">         5302 Counselor</t>
  </si>
  <si>
    <t xml:space="preserve">         5303 Social Worker</t>
  </si>
  <si>
    <t xml:space="preserve">         5304 SETSS Teacher</t>
  </si>
  <si>
    <t xml:space="preserve">         5305 ELL Teacher</t>
  </si>
  <si>
    <t xml:space="preserve">      Total 5300 Special Education</t>
  </si>
  <si>
    <t xml:space="preserve">      5500 Stipends Special Projects</t>
  </si>
  <si>
    <t xml:space="preserve">   Total 5000 Salaries Expense</t>
  </si>
  <si>
    <t xml:space="preserve">   6000 Employee Benefits</t>
  </si>
  <si>
    <t xml:space="preserve">      6002 NY SUI</t>
  </si>
  <si>
    <t xml:space="preserve">      6003 Disability Insurance State</t>
  </si>
  <si>
    <t xml:space="preserve">      6004 NY METRO</t>
  </si>
  <si>
    <t xml:space="preserve">      6005 Social Security ER</t>
  </si>
  <si>
    <t xml:space="preserve">      6006 Social Security EE</t>
  </si>
  <si>
    <t xml:space="preserve">      6007 Medicare ER</t>
  </si>
  <si>
    <t xml:space="preserve">      6008 Medicare EE</t>
  </si>
  <si>
    <t xml:space="preserve">      6009 State Income Tax</t>
  </si>
  <si>
    <t xml:space="preserve">      6010 NY City Tax</t>
  </si>
  <si>
    <t xml:space="preserve">      6011 Yonkers</t>
  </si>
  <si>
    <t xml:space="preserve">      6012 Employer Pension Match</t>
  </si>
  <si>
    <t xml:space="preserve">      6013 401k Set Up Fee</t>
  </si>
  <si>
    <t xml:space="preserve">      6014 401 k Exchange Account</t>
  </si>
  <si>
    <t xml:space="preserve">      6016 Garnishment Exchange</t>
  </si>
  <si>
    <t xml:space="preserve">      6017 TransitChek/Flex Spending Fee</t>
  </si>
  <si>
    <t xml:space="preserve">      6018 Benefit Portal Fee</t>
  </si>
  <si>
    <t xml:space="preserve">      6019 Personnel Insurance</t>
  </si>
  <si>
    <t xml:space="preserve">         6019a Health Insurance</t>
  </si>
  <si>
    <t xml:space="preserve">         6019b Dental Insurance</t>
  </si>
  <si>
    <t xml:space="preserve">         6019c Vision Insurance</t>
  </si>
  <si>
    <t xml:space="preserve">         6019d Life Insurance</t>
  </si>
  <si>
    <t xml:space="preserve">         6019e Workers Compensation Insurance</t>
  </si>
  <si>
    <t xml:space="preserve">      Total 6019 Personnel Insurance</t>
  </si>
  <si>
    <t xml:space="preserve">   Total 6000 Employee Benefits</t>
  </si>
  <si>
    <t xml:space="preserve">   6100 Direct Educational Expenses</t>
  </si>
  <si>
    <t xml:space="preserve">      6101 Classroom Supplies</t>
  </si>
  <si>
    <t xml:space="preserve">      6102 Textbooks</t>
  </si>
  <si>
    <t xml:space="preserve">      6104 NYSTL Expense</t>
  </si>
  <si>
    <t xml:space="preserve">      6105 NYSSL Expense</t>
  </si>
  <si>
    <t xml:space="preserve">      6106 NYSLIB Expense</t>
  </si>
  <si>
    <t xml:space="preserve">      6107 Library Books</t>
  </si>
  <si>
    <t xml:space="preserve">      6108 Student Assessment</t>
  </si>
  <si>
    <t xml:space="preserve">      6109 Field Trips</t>
  </si>
  <si>
    <t xml:space="preserve">      6110 Transportation</t>
  </si>
  <si>
    <t xml:space="preserve">      6111 Student Meal Expense</t>
  </si>
  <si>
    <t xml:space="preserve">      6112 Student Incentives/Events</t>
  </si>
  <si>
    <t xml:space="preserve">      6113 Enrichment/Afterschool Supplies</t>
  </si>
  <si>
    <t xml:space="preserve">      6114 Student Software</t>
  </si>
  <si>
    <t xml:space="preserve">      6115 Curriculum</t>
  </si>
  <si>
    <t xml:space="preserve">      6116 Student Uniforms</t>
  </si>
  <si>
    <t xml:space="preserve">      6117 Snacks</t>
  </si>
  <si>
    <t xml:space="preserve">   Total 6100 Direct Educational Expenses</t>
  </si>
  <si>
    <t xml:space="preserve">   7000 Administrative Expenses</t>
  </si>
  <si>
    <t xml:space="preserve">      7001 Office Supplies</t>
  </si>
  <si>
    <t xml:space="preserve">      7002 Phone &amp; Internet</t>
  </si>
  <si>
    <t xml:space="preserve">      7003 Postage, Mailing Service</t>
  </si>
  <si>
    <t xml:space="preserve">      7004 Printing and Copying</t>
  </si>
  <si>
    <t xml:space="preserve">      7005 Copy Machine Lease</t>
  </si>
  <si>
    <t xml:space="preserve">      7006 Staff Food/Events/Gifts</t>
  </si>
  <si>
    <t xml:space="preserve">      7007 Travel</t>
  </si>
  <si>
    <t xml:space="preserve">      7008 Dues, Memberships and Fees</t>
  </si>
  <si>
    <t xml:space="preserve">      7010 Non Capitalized Furniture and Equipment</t>
  </si>
  <si>
    <t xml:space="preserve">   Total 7000 Administrative Expenses</t>
  </si>
  <si>
    <t xml:space="preserve">   7100 Professional Services</t>
  </si>
  <si>
    <t xml:space="preserve">      7101 Audit Fees</t>
  </si>
  <si>
    <t xml:space="preserve">      7102 Business Management Services</t>
  </si>
  <si>
    <t xml:space="preserve">      7104 Technology Maintenance</t>
  </si>
  <si>
    <t xml:space="preserve">      7105 Payroll Expenses</t>
  </si>
  <si>
    <t xml:space="preserve">      7108 Legal Fees</t>
  </si>
  <si>
    <t xml:space="preserve">      7111 Substitute Teachers</t>
  </si>
  <si>
    <t xml:space="preserve">      7113 Misc. Professional Services</t>
  </si>
  <si>
    <t xml:space="preserve">      7116 Curriculum Development</t>
  </si>
  <si>
    <t xml:space="preserve">      7117 Special Classes</t>
  </si>
  <si>
    <t xml:space="preserve">      7118 Special Education Services</t>
  </si>
  <si>
    <t xml:space="preserve">   Total 7100 Professional Services</t>
  </si>
  <si>
    <t xml:space="preserve">   7200 Other Types of Expenses</t>
  </si>
  <si>
    <t xml:space="preserve">      7201 Insurance - Liability, D and O</t>
  </si>
  <si>
    <t xml:space="preserve">   Total 7200 Other Types of Expenses</t>
  </si>
  <si>
    <t xml:space="preserve">   7300 Professional Development</t>
  </si>
  <si>
    <t xml:space="preserve">      7301 Instructional PD</t>
  </si>
  <si>
    <t xml:space="preserve">      7304 Board PD/Strategic Planning</t>
  </si>
  <si>
    <t xml:space="preserve">   Total 7300 Professional Development</t>
  </si>
  <si>
    <t xml:space="preserve">   7400 Marketing &amp; Recruitement</t>
  </si>
  <si>
    <t xml:space="preserve">      7401 Student Recruitment</t>
  </si>
  <si>
    <t xml:space="preserve">      7402 Staff Recruitment</t>
  </si>
  <si>
    <t xml:space="preserve">      7404 Marketing and Promotion</t>
  </si>
  <si>
    <t xml:space="preserve">   Total 7400 Marketing &amp; Recruitement</t>
  </si>
  <si>
    <t xml:space="preserve">   8100 Facilities</t>
  </si>
  <si>
    <t xml:space="preserve">      8101 Rent, Parking, Utilities</t>
  </si>
  <si>
    <t xml:space="preserve">      8104 Repairs and Maintenance</t>
  </si>
  <si>
    <t xml:space="preserve">      8107 Signage</t>
  </si>
  <si>
    <t xml:space="preserve">   Total 8100 Facilities</t>
  </si>
  <si>
    <t xml:space="preserve">   8800 Miscellaneous Expenses</t>
  </si>
  <si>
    <t xml:space="preserve">      8801 Bank Charges</t>
  </si>
  <si>
    <t xml:space="preserve">      8804 Suspense</t>
  </si>
  <si>
    <t xml:space="preserve">      8900 Depreciation</t>
  </si>
  <si>
    <t xml:space="preserve">   Total 8800 Miscellaneous Expenses</t>
  </si>
  <si>
    <t xml:space="preserve">   9000 Reserve Fund</t>
  </si>
  <si>
    <t>Actual</t>
  </si>
  <si>
    <t>% of Budget</t>
  </si>
  <si>
    <t>Monthly medical insurances, field trips paid in advance.</t>
  </si>
  <si>
    <t>over Budget</t>
  </si>
  <si>
    <t>Negative Actual</t>
  </si>
  <si>
    <t>Negative Budget</t>
  </si>
  <si>
    <t>Advanced Reimbursements</t>
  </si>
  <si>
    <t xml:space="preserve">      8109 Non-Asset Furniture &amp; Equipment</t>
  </si>
  <si>
    <t>Rent, Parking, Utilities</t>
  </si>
  <si>
    <t>Repairs and Maintenance</t>
  </si>
  <si>
    <t>Non-Asset Furniture &amp; Equipment</t>
  </si>
  <si>
    <t>401 k Exchange Account</t>
  </si>
  <si>
    <t>TransitChek/Flex Spending Fee</t>
  </si>
  <si>
    <t>FY 12-13
Annual Approved Budget</t>
  </si>
  <si>
    <t>Projected Variance 
(2012-2013)</t>
  </si>
  <si>
    <t>6019d Life Insurance/AD&amp;D/STD/LTD</t>
  </si>
  <si>
    <t>6019e Workers Comp</t>
  </si>
  <si>
    <t xml:space="preserve">Final Allocation per DOE is $1,087 per student receiving special education services. Budget assumed an allocation of $1,210 from FY 11-12. NYC DOE reduced allocation for FY 11-12.   </t>
  </si>
  <si>
    <t>Projection based on monthly average revenue to date.</t>
  </si>
  <si>
    <t>no replacement planned.</t>
  </si>
  <si>
    <t>Summer overlap of school leaders.</t>
  </si>
  <si>
    <t>Budgeted for two but only one will be hired.</t>
  </si>
  <si>
    <t xml:space="preserve">Projection based on spending to budget. </t>
  </si>
  <si>
    <t>Assumes no more spending.</t>
  </si>
  <si>
    <t>Per head of school, increase projected spending to $10,000/year.</t>
  </si>
  <si>
    <t>Per head of school, decrease projected spending to $5,000/year. No legal fees have been spent since year 1.</t>
  </si>
  <si>
    <t>Per head of school, increase projected spending to $80,000/year for additional IT, charter renewal, annual report and ERATE support.</t>
  </si>
  <si>
    <t>Per head of school, decrease projected spending to $3,000/year.</t>
  </si>
  <si>
    <t>Per head of school, increase projected spending to $100,000/year for additional PD for staff.</t>
  </si>
  <si>
    <t>Per head of school, increase projected spending to $6,000/year.</t>
  </si>
  <si>
    <t>Academic Consultants</t>
  </si>
  <si>
    <t>Tution Reimbursement</t>
  </si>
  <si>
    <t>Assumes no more spending</t>
  </si>
  <si>
    <t>Servers &amp; Computers</t>
  </si>
  <si>
    <t>Furniture &amp; Equipment</t>
  </si>
  <si>
    <t>Software</t>
  </si>
  <si>
    <t>Leasehold Improvements</t>
  </si>
  <si>
    <t>Net Income Cash and Non Cash Items</t>
  </si>
  <si>
    <t>Capital Costs</t>
  </si>
  <si>
    <t xml:space="preserve">      7403 Tuition Reimbursement</t>
  </si>
  <si>
    <t xml:space="preserve">      4300 Contributions</t>
  </si>
  <si>
    <t xml:space="preserve">      Total 4300 Contributions</t>
  </si>
  <si>
    <t xml:space="preserve">      4500 Misc. Income</t>
  </si>
  <si>
    <t xml:space="preserve">         4501 Interest Income</t>
  </si>
  <si>
    <t xml:space="preserve">      Total 4500 Misc. Income</t>
  </si>
  <si>
    <t xml:space="preserve">   Uncategorized Expense</t>
  </si>
  <si>
    <t>Summary of capital costs tab</t>
  </si>
  <si>
    <t>Projection based on average interest earned</t>
  </si>
  <si>
    <t>Fifth grade teachers reallocated to subject lines</t>
  </si>
  <si>
    <t xml:space="preserve">Advance reimbursement for copier lease transfer to LEAF contract. </t>
  </si>
  <si>
    <t>Potential Funding Impact through June 13</t>
  </si>
  <si>
    <t xml:space="preserve">Final NYCDOE allocation. Spending will be complete by April 2013. This is a non-cash transaction where funds are accessed through a NYCDOE purchasing portal. Schools purchase textbooks/library books and software, against these funds, directly from this portal. Revenue offsets expense for zero net effect. </t>
  </si>
  <si>
    <t>Per head of school, increase projected spending to $40,000/year.</t>
  </si>
  <si>
    <t xml:space="preserve">      7115 Academic Consultants</t>
  </si>
  <si>
    <t>Per head of school, increase projected spending to $80,000/year for additional IT support.</t>
  </si>
  <si>
    <t>$101,000/year for Educate &amp; Primavera services</t>
  </si>
  <si>
    <t>Useful Life</t>
  </si>
  <si>
    <t>Est. Dep.</t>
  </si>
  <si>
    <t>PROFIT &amp; LOSS ANALYSIS FOR THE PERIOD ENDING SEPTEMBER 30, 2012</t>
  </si>
  <si>
    <t xml:space="preserve">For the current period, SHLA is showing a net income of $125,097 which is close to budget. The projected surplus/(deficit) for the 2012-2013 school year is $48,712 which is a $264K increase due mostly to increased per pupil revenue. </t>
  </si>
  <si>
    <t xml:space="preserve">General Education Per Pupil Revenues should end the year ahead of budget due to higher enrollment. Special Education Per Pupil revenues should also end the year also ahead of budget due to higher enrollment. </t>
  </si>
  <si>
    <t>Category reflects bank interest. Interest earned should increase when additional operating account funds are transferred.</t>
  </si>
  <si>
    <t xml:space="preserve">Category will end year behind budget due to unexpected DOE additional usage costs during summer. </t>
  </si>
  <si>
    <t xml:space="preserve">Category will end year behind budget due to tuition reimbursement costs for teachers working towards certification. </t>
  </si>
  <si>
    <t>Category will end year behind budget due to increased PD costs for teachers to attend workshops and conferences.</t>
  </si>
  <si>
    <t>Category will end year behind budget due mostly to increased costs in additional support in Technology, IT, Charter renewal, Annual report and Academic consultants.</t>
  </si>
  <si>
    <t xml:space="preserve">Category will end year behind budget due mostly to increased costs in staff teambuilding/events and membership for SPED collaborative. </t>
  </si>
  <si>
    <t>Category will end year behind budget due mostly to increased costs in student assessment, trips, enrichment/afterschool and student uniforms.</t>
  </si>
  <si>
    <t>Category will end year behind budget due to increased medical benefit costs and workers compensation premiums.</t>
  </si>
  <si>
    <t xml:space="preserve">Category will end year ahead of budget due to staff organization revisions. </t>
  </si>
  <si>
    <t>Category will end year ahead of budget due to contingency budget not being used for specific items.</t>
  </si>
  <si>
    <t>Miscellaneous &amp; Depreciation</t>
  </si>
  <si>
    <t>Category will end year behind budget due to higher depreciation costs for additional capital costs.</t>
  </si>
  <si>
    <t xml:space="preserve">Category will end year ahead of budget due to lower premiums. </t>
  </si>
  <si>
    <t>BALANCE SHEET ANALYSIS FOR THE PERIOD ENDING SEPTEMBER 30, 2012</t>
  </si>
  <si>
    <t xml:space="preserve"> This represents amounts due to vendors that have yet to be paid at the end of September.</t>
  </si>
  <si>
    <t xml:space="preserve"> This represents amounts due to credit card that have yet to be paid at the end of September.</t>
  </si>
  <si>
    <t>This represents the per pupil payments from NYCDOE for Oct. Each month, this amount is recognized to revenue based on the student enrollment.</t>
  </si>
  <si>
    <t xml:space="preserve"> This represents FY 11-12 remainder of audit fees. </t>
  </si>
  <si>
    <t>Category currently behind budget due to lower ERATE funds received. This allocation may increase with final ERATE award for 2012-2013.</t>
  </si>
  <si>
    <r>
      <t xml:space="preserve">Annual
</t>
    </r>
    <r>
      <rPr>
        <u/>
        <sz val="11"/>
        <color theme="1"/>
        <rFont val="Calibri"/>
        <family val="2"/>
        <scheme val="minor"/>
      </rPr>
      <t>Projected Actuals</t>
    </r>
  </si>
  <si>
    <t xml:space="preserve">Projection based on actual salaries. Maternity leave for 6 weeks. </t>
  </si>
  <si>
    <t>Increased for higher capital costs.</t>
  </si>
  <si>
    <t xml:space="preserve">Projection based on actual salaries. Sept. report reflected average monthly cost. There was some variance in payroll in Aug. This new projection reflects stable payroll going forward. </t>
  </si>
  <si>
    <t>Projection based on spending to budget.</t>
  </si>
  <si>
    <t>Projection adjuted to $30K due mostly to TFA costs and placement fees.</t>
  </si>
  <si>
    <t>Projection based on average monthly fees.</t>
  </si>
  <si>
    <t>Clearing account.</t>
  </si>
  <si>
    <t>Projection based on final allocation released in Jan 2013.</t>
  </si>
  <si>
    <t>Per head of school, projection for Acheivement Network cost and small testing supplies.</t>
  </si>
  <si>
    <t xml:space="preserve">Tuition reimbursement. </t>
  </si>
  <si>
    <t>St. HOPE Leadership Academy Charter School
12-13 Enrollment General Education
Based on 2/4/13 Per Pupil Invoice</t>
  </si>
  <si>
    <t>St. HOPE Leadership Academy Charter School
12-13 Enrollment Special Education
Based on 2/4/13 Per Pupil Invoice</t>
  </si>
  <si>
    <t xml:space="preserve">Budget vs. Actuals: 12-13 - FY13 P&amp;L </t>
  </si>
  <si>
    <t>Clearing Account</t>
  </si>
  <si>
    <t>Per head of school, increase projected spending to $35,000/year.</t>
  </si>
  <si>
    <t>12/31/12
Budget
(estimate)</t>
  </si>
  <si>
    <t>12/31/12
Actual</t>
  </si>
  <si>
    <t>12/31/12 
Variance</t>
  </si>
  <si>
    <t>Annual Budget</t>
  </si>
  <si>
    <t>FY 12-13
Annual
Budget</t>
  </si>
  <si>
    <t>FY 12-13 Projected Actual</t>
  </si>
  <si>
    <t>FY 12-13
Projected
Variance</t>
  </si>
  <si>
    <t>Projection based on $800/month for remainder of year.</t>
  </si>
  <si>
    <t>Projection 
Method</t>
  </si>
  <si>
    <t>Hard Coded</t>
  </si>
  <si>
    <t>Hard Coded - Actual TY projection</t>
  </si>
  <si>
    <t>Projections Methods (validation list)</t>
  </si>
  <si>
    <t>Average of YTD</t>
  </si>
  <si>
    <t>Hard Coded - Remaining Year projection</t>
  </si>
  <si>
    <t>Zero</t>
  </si>
  <si>
    <t>Payroll 12 Months</t>
  </si>
  <si>
    <t>Clearing</t>
  </si>
  <si>
    <t>current months</t>
  </si>
  <si>
    <t>remaining months</t>
  </si>
  <si>
    <t>Payroll 12 month - current</t>
  </si>
  <si>
    <t>Payroll 12 month - remaining</t>
  </si>
  <si>
    <t>Payroll 11 Months</t>
  </si>
  <si>
    <t>Payroll 11 month - current</t>
  </si>
  <si>
    <t>Payroll 11 month - remaining</t>
  </si>
  <si>
    <t>Projection based on $21,500/month for remainder of year.</t>
  </si>
  <si>
    <t>Projection based on $750/month for remainder of year.</t>
  </si>
  <si>
    <t>Projection based on $200/month for remainder of year.</t>
  </si>
  <si>
    <t>School receives $13,527 annually per student. Annual budget estimated 290 students. Projection based on 301.827 students currently enrolled with 3 expected withdrawals on 3/1.</t>
  </si>
  <si>
    <t>School receives $10,390 annually for each student receiving services for 20-60% of their day and $19,049 annually for each student receiving services for over 60% of their day. Annual budget estimated 20 students between 20-60% and 20 over 60%. Projection based on 25 students at the 20-60% category and 23.879 at the above 60% category, with one expected withdrawal on 3/1.</t>
  </si>
  <si>
    <t>Projection based on actual salaries. Mid year vacancy will not be replaced. An enrichment program added as replacement special.</t>
  </si>
  <si>
    <t>Based on actual bills and annual reconciliations</t>
  </si>
  <si>
    <t xml:space="preserve">Per head of school, increase projected spending to $130,000/year. $40,000 added to Dec. report for Film in Action program to replace Spanish special. </t>
  </si>
  <si>
    <t>Per head of school, increase projected spending to $25,000/year.</t>
  </si>
  <si>
    <t>July 2012 - Jan 2013</t>
  </si>
  <si>
    <t xml:space="preserve">         5210 Substitute Teacher - Perm.</t>
  </si>
  <si>
    <t>Substitute Teacher - Perm.</t>
  </si>
  <si>
    <t/>
  </si>
  <si>
    <t xml:space="preserve">Projection based on actual salaries. </t>
  </si>
  <si>
    <t xml:space="preserve">Mid year replacement s - perm sub. </t>
  </si>
  <si>
    <t>Projection based on average monthly copying overage</t>
  </si>
  <si>
    <t>P&amp;L Summary 2/28/13</t>
  </si>
  <si>
    <t>BS Summary 2/28/13</t>
  </si>
  <si>
    <t>St. HOPE Leadership Academy Charter School
Summary Page and Narrative
February 28, 2013</t>
  </si>
  <si>
    <t>St. HOPE Leadership Academy Charter School
Operating Budget v. Actuals
as of 2/28/13</t>
  </si>
  <si>
    <t>Budget Estimate
(Jul-Feb)</t>
  </si>
  <si>
    <t>Actuals 
(July-Feb)</t>
  </si>
  <si>
    <t>Variance
(July-Feb)</t>
  </si>
  <si>
    <t>Projections
(Mar-June)</t>
  </si>
  <si>
    <t>Actuals (July-Feb) + Projections (Mar-June)</t>
  </si>
  <si>
    <t>St. HOPE Leadership Academy Charter School
Balance Sheet
as of 2/28/13</t>
  </si>
  <si>
    <t>St. HOPE Leadership Academy Charter School
Capital Budget v. Actuals
as of 2/28/13</t>
  </si>
  <si>
    <t>Projection will be updated with 401k match actuals.</t>
  </si>
  <si>
    <t>Projection included early building access costs.</t>
  </si>
  <si>
    <t xml:space="preserve">$455K more in revenue due mostly to ERATE award for internal connections, higher general ed and special ed enrollment and higher title allocation. </t>
  </si>
  <si>
    <t>ERATE award for internal connections - technology infrastructure.</t>
  </si>
  <si>
    <t>$223K additional spending due to higher costs in supplies and services and higher depreciation for higher capital costs.</t>
  </si>
  <si>
    <r>
      <t>$315K more in revenue and $223K more in expenses reflect a $232K increase over projected net income.</t>
    </r>
    <r>
      <rPr>
        <sz val="11"/>
        <color rgb="FFFF0000"/>
        <rFont val="Calibri"/>
        <family val="2"/>
        <scheme val="minor"/>
      </rPr>
      <t xml:space="preserve"> </t>
    </r>
  </si>
  <si>
    <t>DOE per pupil payment for March/April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</si>
</sst>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3" formatCode="_(* #,##0.00_);_(* \(#,##0.00\);_(* &quot;-&quot;??_);_(@_)"/>
    <numFmt numFmtId="164" formatCode="_(* #,##0_);_(* \(#,##0\);_(* &quot;-&quot;??_);_(@_)"/>
    <numFmt numFmtId="165" formatCode="0.000"/>
    <numFmt numFmtId="166" formatCode="&quot;$&quot;* #,##0.00"/>
    <numFmt numFmtId="167" formatCode="m/d/yy;@"/>
  </numFmts>
  <fonts count="48"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2"/>
      <color theme="1"/>
      <name val="Calibri"/>
      <family val="2"/>
      <scheme val="minor"/>
    </font>
    <font>
      <b/>
      <sz val="11"/>
      <name val="Calibri"/>
      <family val="2"/>
      <scheme val="minor"/>
    </font>
    <font>
      <u/>
      <sz val="11"/>
      <color theme="10"/>
      <name val="Calibri"/>
      <family val="2"/>
    </font>
    <font>
      <sz val="12"/>
      <name val="Calibri"/>
      <family val="2"/>
      <scheme val="minor"/>
    </font>
    <font>
      <sz val="12"/>
      <color theme="1"/>
      <name val="Calibri"/>
      <family val="2"/>
      <scheme val="minor"/>
    </font>
    <font>
      <sz val="11"/>
      <name val="Calibri"/>
      <family val="2"/>
    </font>
    <font>
      <b/>
      <sz val="11"/>
      <name val="Calibri"/>
      <family val="2"/>
    </font>
    <font>
      <sz val="10"/>
      <name val="Arial"/>
      <family val="2"/>
    </font>
    <font>
      <i/>
      <sz val="11"/>
      <color theme="1"/>
      <name val="Calibri"/>
      <family val="2"/>
      <scheme val="minor"/>
    </font>
    <font>
      <i/>
      <u val="singleAccounting"/>
      <sz val="11"/>
      <color theme="1"/>
      <name val="Calibri"/>
      <family val="2"/>
      <scheme val="minor"/>
    </font>
    <font>
      <b/>
      <u/>
      <sz val="11"/>
      <color theme="1"/>
      <name val="Calibri"/>
      <family val="2"/>
      <scheme val="minor"/>
    </font>
    <font>
      <sz val="11"/>
      <color indexed="8"/>
      <name val="Calibri"/>
      <family val="2"/>
      <scheme val="minor"/>
    </font>
    <font>
      <b/>
      <sz val="11"/>
      <color indexed="8"/>
      <name val="Calibri"/>
      <family val="2"/>
      <scheme val="minor"/>
    </font>
    <font>
      <u/>
      <sz val="11"/>
      <color theme="1"/>
      <name val="Calibri"/>
      <family val="2"/>
      <scheme val="minor"/>
    </font>
    <font>
      <b/>
      <sz val="14"/>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8"/>
      <name val="Arial"/>
      <family val="2"/>
    </font>
    <font>
      <sz val="8"/>
      <name val="Arial"/>
      <family val="2"/>
    </font>
    <font>
      <sz val="8"/>
      <color theme="1"/>
      <name val="Arial"/>
      <family val="2"/>
    </font>
    <font>
      <sz val="10"/>
      <name val="Arial"/>
      <family val="2"/>
    </font>
    <font>
      <sz val="11"/>
      <color rgb="FFFF0000"/>
      <name val="Calibri"/>
      <family val="2"/>
      <scheme val="minor"/>
    </font>
    <font>
      <sz val="8"/>
      <name val="Arial"/>
      <family val="2"/>
    </font>
    <font>
      <b/>
      <sz val="8"/>
      <name val="Arial"/>
      <family val="2"/>
    </font>
    <font>
      <sz val="10"/>
      <color theme="1"/>
      <name val="Calibri"/>
      <family val="2"/>
      <scheme val="minor"/>
    </font>
    <font>
      <b/>
      <sz val="10"/>
      <color theme="1"/>
      <name val="Calibri"/>
      <family val="2"/>
      <scheme val="minor"/>
    </font>
    <font>
      <i/>
      <sz val="10"/>
      <color theme="1"/>
      <name val="Calibri"/>
      <family val="2"/>
      <scheme val="minor"/>
    </font>
    <font>
      <i/>
      <u val="singleAccounting"/>
      <sz val="10"/>
      <color theme="1"/>
      <name val="Calibri"/>
      <family val="2"/>
      <scheme val="minor"/>
    </font>
    <font>
      <sz val="10"/>
      <name val="Calibri"/>
      <family val="2"/>
      <scheme val="minor"/>
    </font>
  </fonts>
  <fills count="28">
    <fill>
      <patternFill patternType="none"/>
    </fill>
    <fill>
      <patternFill patternType="gray125"/>
    </fill>
    <fill>
      <patternFill patternType="solid">
        <fgColor theme="1"/>
        <bgColor indexed="64"/>
      </patternFill>
    </fill>
    <fill>
      <patternFill patternType="solid">
        <fgColor theme="8" tint="0.59999389629810485"/>
        <bgColor indexed="64"/>
      </patternFill>
    </fill>
    <fill>
      <patternFill patternType="solid">
        <fgColor rgb="FFFFFF00"/>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38"/>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21"/>
      </patternFill>
    </fill>
    <fill>
      <patternFill patternType="solid">
        <fgColor indexed="10"/>
        <bgColor indexed="60"/>
      </patternFill>
    </fill>
    <fill>
      <patternFill patternType="solid">
        <fgColor indexed="57"/>
        <bgColor indexed="38"/>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tint="-0.149998474074526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style="medium">
        <color auto="1"/>
      </top>
      <bottom style="medium">
        <color auto="1"/>
      </bottom>
      <diagonal/>
    </border>
    <border>
      <left/>
      <right/>
      <top style="thick">
        <color indexed="64"/>
      </top>
      <bottom style="thick">
        <color indexed="64"/>
      </bottom>
      <diagonal/>
    </border>
    <border>
      <left/>
      <right/>
      <top style="medium">
        <color auto="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top/>
      <bottom style="thin">
        <color indexed="8"/>
      </bottom>
      <diagonal/>
    </border>
    <border>
      <left/>
      <right/>
      <top style="thin">
        <color indexed="8"/>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double">
        <color indexed="64"/>
      </bottom>
      <diagonal/>
    </border>
    <border>
      <left/>
      <right style="thin">
        <color indexed="64"/>
      </right>
      <top style="thin">
        <color auto="1"/>
      </top>
      <bottom style="double">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double">
        <color indexed="64"/>
      </top>
      <bottom/>
      <diagonal/>
    </border>
  </borders>
  <cellStyleXfs count="47">
    <xf numFmtId="0" fontId="0" fillId="0" borderId="0"/>
    <xf numFmtId="43" fontId="1" fillId="0" borderId="0" applyFont="0" applyFill="0" applyBorder="0" applyAlignment="0" applyProtection="0"/>
    <xf numFmtId="0" fontId="6" fillId="0" borderId="0" applyNumberFormat="0" applyFill="0" applyBorder="0" applyAlignment="0" applyProtection="0">
      <alignment vertical="top"/>
      <protection locked="0"/>
    </xf>
    <xf numFmtId="0" fontId="11" fillId="0" borderId="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20" fillId="15"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22" borderId="0" applyNumberFormat="0" applyBorder="0" applyAlignment="0" applyProtection="0"/>
    <xf numFmtId="0" fontId="21" fillId="6" borderId="0" applyNumberFormat="0" applyBorder="0" applyAlignment="0" applyProtection="0"/>
    <xf numFmtId="0" fontId="22" fillId="23" borderId="23" applyNumberFormat="0" applyAlignment="0" applyProtection="0"/>
    <xf numFmtId="0" fontId="23" fillId="24" borderId="24" applyNumberFormat="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0" borderId="25" applyNumberFormat="0" applyFill="0" applyAlignment="0" applyProtection="0"/>
    <xf numFmtId="0" fontId="27" fillId="0" borderId="26" applyNumberFormat="0" applyFill="0" applyAlignment="0" applyProtection="0"/>
    <xf numFmtId="0" fontId="28" fillId="0" borderId="27" applyNumberFormat="0" applyFill="0" applyAlignment="0" applyProtection="0"/>
    <xf numFmtId="0" fontId="28" fillId="0" borderId="0" applyNumberFormat="0" applyFill="0" applyBorder="0" applyAlignment="0" applyProtection="0"/>
    <xf numFmtId="0" fontId="29" fillId="10" borderId="23" applyNumberFormat="0" applyAlignment="0" applyProtection="0"/>
    <xf numFmtId="0" fontId="30" fillId="0" borderId="28" applyNumberFormat="0" applyFill="0" applyAlignment="0" applyProtection="0"/>
    <xf numFmtId="0" fontId="31" fillId="25" borderId="0" applyNumberFormat="0" applyBorder="0" applyAlignment="0" applyProtection="0"/>
    <xf numFmtId="0" fontId="11" fillId="26" borderId="29" applyNumberFormat="0" applyAlignment="0" applyProtection="0"/>
    <xf numFmtId="0" fontId="32" fillId="23" borderId="30" applyNumberFormat="0" applyAlignment="0" applyProtection="0"/>
    <xf numFmtId="0" fontId="33" fillId="0" borderId="0" applyNumberFormat="0" applyFill="0" applyBorder="0" applyAlignment="0" applyProtection="0"/>
    <xf numFmtId="0" fontId="34" fillId="0" borderId="31" applyNumberFormat="0" applyFill="0" applyAlignment="0" applyProtection="0"/>
    <xf numFmtId="0" fontId="35" fillId="0" borderId="0" applyNumberFormat="0" applyFill="0" applyBorder="0" applyAlignment="0" applyProtection="0"/>
    <xf numFmtId="43" fontId="11" fillId="0" borderId="0" applyFont="0" applyFill="0" applyBorder="0" applyAlignment="0" applyProtection="0"/>
    <xf numFmtId="0" fontId="39" fillId="0" borderId="0"/>
  </cellStyleXfs>
  <cellXfs count="243">
    <xf numFmtId="0" fontId="0" fillId="0" borderId="0" xfId="0"/>
    <xf numFmtId="0" fontId="3" fillId="0" borderId="0" xfId="0" applyFont="1" applyFill="1" applyBorder="1" applyAlignment="1" applyProtection="1">
      <alignment horizontal="center" vertical="center"/>
    </xf>
    <xf numFmtId="0" fontId="2" fillId="0" borderId="0" xfId="0" applyFont="1" applyFill="1" applyBorder="1" applyProtection="1"/>
    <xf numFmtId="0" fontId="3" fillId="0" borderId="0" xfId="0" applyFont="1" applyFill="1" applyBorder="1" applyAlignment="1" applyProtection="1">
      <alignment horizontal="right"/>
    </xf>
    <xf numFmtId="0" fontId="3" fillId="0" borderId="0" xfId="0" applyFont="1" applyFill="1" applyBorder="1" applyAlignment="1" applyProtection="1">
      <alignment horizontal="left"/>
    </xf>
    <xf numFmtId="0" fontId="2" fillId="0" borderId="0" xfId="0" applyFont="1" applyFill="1" applyBorder="1" applyAlignment="1" applyProtection="1">
      <alignment horizontal="left"/>
    </xf>
    <xf numFmtId="0" fontId="7" fillId="0" borderId="0" xfId="0" applyFont="1" applyFill="1" applyBorder="1" applyAlignment="1" applyProtection="1">
      <alignment horizontal="right"/>
    </xf>
    <xf numFmtId="0" fontId="5" fillId="0" borderId="0" xfId="0" applyFont="1" applyFill="1" applyBorder="1" applyProtection="1"/>
    <xf numFmtId="0" fontId="4" fillId="0" borderId="0" xfId="0" applyFont="1" applyFill="1" applyBorder="1" applyAlignment="1" applyProtection="1">
      <alignment wrapText="1"/>
    </xf>
    <xf numFmtId="0" fontId="5" fillId="0" borderId="0" xfId="0" applyFont="1" applyFill="1" applyBorder="1" applyAlignment="1"/>
    <xf numFmtId="0" fontId="2" fillId="0" borderId="0" xfId="0" applyFont="1" applyFill="1" applyBorder="1" applyAlignment="1"/>
    <xf numFmtId="0" fontId="3" fillId="0" borderId="0" xfId="0" applyFont="1" applyFill="1" applyBorder="1" applyAlignment="1" applyProtection="1">
      <alignment horizontal="right" wrapText="1"/>
    </xf>
    <xf numFmtId="0" fontId="8" fillId="0" borderId="0" xfId="0" applyFont="1" applyFill="1" applyBorder="1" applyAlignment="1" applyProtection="1">
      <alignment wrapText="1"/>
    </xf>
    <xf numFmtId="0" fontId="3" fillId="0" borderId="0" xfId="0" applyFont="1" applyFill="1" applyBorder="1" applyAlignment="1" applyProtection="1">
      <alignment horizontal="left" wrapText="1"/>
    </xf>
    <xf numFmtId="0" fontId="3" fillId="0" borderId="0" xfId="0" applyFont="1" applyFill="1" applyBorder="1" applyAlignment="1"/>
    <xf numFmtId="0" fontId="0" fillId="0" borderId="0" xfId="0" applyFont="1" applyFill="1" applyBorder="1" applyAlignment="1"/>
    <xf numFmtId="0" fontId="0" fillId="0" borderId="0" xfId="0" applyFont="1" applyFill="1" applyBorder="1"/>
    <xf numFmtId="0" fontId="9" fillId="0" borderId="0" xfId="2" applyFont="1" applyFill="1" applyBorder="1" applyAlignment="1" applyProtection="1">
      <alignment horizontal="left" wrapText="1"/>
    </xf>
    <xf numFmtId="0" fontId="9" fillId="0" borderId="0" xfId="2" applyFont="1" applyFill="1" applyBorder="1" applyAlignment="1" applyProtection="1"/>
    <xf numFmtId="9" fontId="9" fillId="0" borderId="0" xfId="2" applyNumberFormat="1" applyFont="1" applyFill="1" applyBorder="1" applyAlignment="1" applyProtection="1">
      <alignment horizontal="left" wrapText="1"/>
    </xf>
    <xf numFmtId="0" fontId="0" fillId="0" borderId="0" xfId="0" applyFont="1" applyFill="1" applyBorder="1" applyAlignment="1" applyProtection="1">
      <alignment horizontal="left"/>
    </xf>
    <xf numFmtId="0" fontId="0" fillId="0" borderId="0" xfId="0" applyFont="1" applyFill="1" applyBorder="1" applyProtection="1"/>
    <xf numFmtId="0" fontId="10" fillId="0" borderId="0" xfId="2" applyFont="1" applyFill="1" applyBorder="1" applyAlignment="1" applyProtection="1"/>
    <xf numFmtId="164" fontId="0" fillId="0" borderId="0" xfId="1" applyNumberFormat="1" applyFont="1" applyFill="1" applyBorder="1" applyAlignment="1" applyProtection="1">
      <alignment horizontal="center" vertical="center" wrapText="1"/>
    </xf>
    <xf numFmtId="164" fontId="0" fillId="0" borderId="0" xfId="1" applyNumberFormat="1" applyFont="1" applyFill="1" applyBorder="1" applyProtection="1"/>
    <xf numFmtId="164" fontId="2" fillId="0" borderId="0" xfId="1" applyNumberFormat="1" applyFont="1" applyFill="1" applyBorder="1" applyProtection="1"/>
    <xf numFmtId="164" fontId="0" fillId="0" borderId="0" xfId="1" applyNumberFormat="1" applyFont="1" applyFill="1" applyBorder="1"/>
    <xf numFmtId="164" fontId="0" fillId="0" borderId="7" xfId="1" applyNumberFormat="1" applyFont="1" applyFill="1" applyBorder="1" applyProtection="1"/>
    <xf numFmtId="0" fontId="8" fillId="0" borderId="0" xfId="0" applyFont="1" applyFill="1" applyBorder="1" applyAlignment="1" applyProtection="1">
      <alignment horizontal="right" wrapText="1"/>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xf>
    <xf numFmtId="0" fontId="3" fillId="0" borderId="0" xfId="0" applyFont="1" applyFill="1" applyBorder="1" applyAlignment="1">
      <alignment horizontal="right"/>
    </xf>
    <xf numFmtId="164" fontId="0" fillId="0" borderId="3" xfId="1" applyNumberFormat="1" applyFont="1" applyFill="1" applyBorder="1" applyProtection="1"/>
    <xf numFmtId="164" fontId="2" fillId="0" borderId="3" xfId="1" applyNumberFormat="1" applyFont="1" applyFill="1" applyBorder="1" applyProtection="1"/>
    <xf numFmtId="0" fontId="3" fillId="0" borderId="0" xfId="3" applyNumberFormat="1" applyFont="1" applyFill="1" applyBorder="1" applyAlignment="1">
      <alignment horizontal="center" vertical="center"/>
    </xf>
    <xf numFmtId="0" fontId="3" fillId="0" borderId="0" xfId="3" applyFont="1" applyBorder="1" applyAlignment="1">
      <alignment horizontal="center" vertical="center"/>
    </xf>
    <xf numFmtId="0" fontId="3" fillId="2" borderId="9"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3" fillId="0" borderId="0" xfId="3" applyFont="1" applyBorder="1" applyAlignment="1">
      <alignment vertical="center"/>
    </xf>
    <xf numFmtId="0" fontId="1" fillId="0" borderId="0" xfId="0" applyFont="1" applyFill="1" applyBorder="1"/>
    <xf numFmtId="0" fontId="0" fillId="2" borderId="0" xfId="0" applyFont="1" applyFill="1" applyBorder="1"/>
    <xf numFmtId="164" fontId="0" fillId="2" borderId="7" xfId="1" applyNumberFormat="1" applyFont="1" applyFill="1" applyBorder="1" applyProtection="1"/>
    <xf numFmtId="164" fontId="2" fillId="2" borderId="3" xfId="1" applyNumberFormat="1" applyFont="1" applyFill="1" applyBorder="1" applyProtection="1"/>
    <xf numFmtId="164" fontId="0" fillId="2" borderId="3" xfId="1" applyNumberFormat="1" applyFont="1" applyFill="1" applyBorder="1" applyProtection="1"/>
    <xf numFmtId="164" fontId="0" fillId="2" borderId="0" xfId="1" applyNumberFormat="1" applyFont="1" applyFill="1" applyBorder="1" applyProtection="1"/>
    <xf numFmtId="164" fontId="0" fillId="2" borderId="0" xfId="1" applyNumberFormat="1" applyFont="1" applyFill="1" applyBorder="1"/>
    <xf numFmtId="0" fontId="3" fillId="3" borderId="8" xfId="3" applyNumberFormat="1" applyFont="1" applyFill="1" applyBorder="1" applyAlignment="1">
      <alignment horizontal="center" vertical="center" wrapText="1"/>
    </xf>
    <xf numFmtId="0" fontId="3" fillId="3" borderId="8" xfId="3" applyFont="1" applyFill="1" applyBorder="1" applyAlignment="1">
      <alignment horizontal="center" vertical="center" wrapText="1"/>
    </xf>
    <xf numFmtId="0" fontId="0" fillId="0" borderId="0" xfId="0" applyFont="1"/>
    <xf numFmtId="0" fontId="5" fillId="0" borderId="1" xfId="0" applyFont="1" applyFill="1" applyBorder="1" applyAlignment="1">
      <alignment horizontal="center" vertical="center"/>
    </xf>
    <xf numFmtId="0" fontId="0" fillId="0" borderId="0" xfId="0" applyFont="1" applyFill="1"/>
    <xf numFmtId="0" fontId="3" fillId="0" borderId="1" xfId="0" applyFont="1" applyFill="1" applyBorder="1" applyAlignment="1">
      <alignment horizontal="center" vertical="center"/>
    </xf>
    <xf numFmtId="0" fontId="5"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wrapText="1"/>
    </xf>
    <xf numFmtId="0" fontId="3" fillId="0" borderId="1" xfId="0" applyFont="1" applyFill="1" applyBorder="1" applyAlignment="1">
      <alignment horizontal="left" vertical="center"/>
    </xf>
    <xf numFmtId="1" fontId="3" fillId="0" borderId="1" xfId="0" applyNumberFormat="1" applyFont="1" applyFill="1" applyBorder="1" applyAlignment="1">
      <alignment horizontal="center" vertical="center"/>
    </xf>
    <xf numFmtId="43" fontId="3" fillId="0" borderId="1" xfId="1" applyFont="1" applyBorder="1" applyAlignment="1">
      <alignment horizontal="center" wrapText="1"/>
    </xf>
    <xf numFmtId="165" fontId="3" fillId="0" borderId="1" xfId="0" applyNumberFormat="1" applyFont="1" applyFill="1" applyBorder="1" applyAlignment="1">
      <alignment horizontal="center" vertical="center"/>
    </xf>
    <xf numFmtId="43" fontId="5" fillId="0" borderId="1" xfId="1" applyFont="1" applyBorder="1" applyAlignment="1">
      <alignment horizontal="center" wrapText="1"/>
    </xf>
    <xf numFmtId="0" fontId="5" fillId="0" borderId="0" xfId="0" applyFont="1" applyFill="1" applyBorder="1" applyAlignment="1">
      <alignment horizontal="left" vertical="center"/>
    </xf>
    <xf numFmtId="1" fontId="3" fillId="0" borderId="0" xfId="0" applyNumberFormat="1" applyFont="1" applyFill="1" applyBorder="1" applyAlignment="1">
      <alignment horizontal="center" vertical="center"/>
    </xf>
    <xf numFmtId="0" fontId="3" fillId="0" borderId="0" xfId="0" applyFont="1" applyBorder="1" applyAlignment="1">
      <alignment horizontal="center" wrapText="1"/>
    </xf>
    <xf numFmtId="0" fontId="5" fillId="0" borderId="3" xfId="0"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0" borderId="11" xfId="0" applyFont="1" applyFill="1" applyBorder="1" applyAlignment="1">
      <alignment horizontal="left" vertical="center"/>
    </xf>
    <xf numFmtId="1" fontId="3" fillId="0" borderId="7" xfId="0" applyNumberFormat="1" applyFont="1" applyFill="1" applyBorder="1" applyAlignment="1">
      <alignment horizontal="center" vertical="center"/>
    </xf>
    <xf numFmtId="1" fontId="3" fillId="0" borderId="12" xfId="0" applyNumberFormat="1" applyFont="1" applyFill="1" applyBorder="1" applyAlignment="1">
      <alignment horizontal="center" vertical="center"/>
    </xf>
    <xf numFmtId="43" fontId="3" fillId="0" borderId="13" xfId="1" applyFont="1" applyBorder="1" applyAlignment="1">
      <alignment horizontal="center" wrapText="1"/>
    </xf>
    <xf numFmtId="0" fontId="3" fillId="0" borderId="12" xfId="0" applyFont="1" applyFill="1" applyBorder="1" applyAlignment="1">
      <alignment horizontal="left" vertical="center"/>
    </xf>
    <xf numFmtId="165" fontId="3" fillId="0" borderId="0" xfId="0" applyNumberFormat="1" applyFont="1" applyFill="1" applyBorder="1" applyAlignment="1">
      <alignment horizontal="center" vertical="center"/>
    </xf>
    <xf numFmtId="165" fontId="3" fillId="0" borderId="12" xfId="0" applyNumberFormat="1" applyFont="1" applyFill="1" applyBorder="1" applyAlignment="1">
      <alignment horizontal="center" vertical="center"/>
    </xf>
    <xf numFmtId="43" fontId="3" fillId="0" borderId="12" xfId="1" applyFont="1" applyBorder="1" applyAlignment="1">
      <alignment horizontal="center" wrapText="1"/>
    </xf>
    <xf numFmtId="43" fontId="3" fillId="0" borderId="14" xfId="1" applyFont="1" applyBorder="1" applyAlignment="1">
      <alignment horizontal="center" wrapText="1"/>
    </xf>
    <xf numFmtId="43" fontId="3" fillId="0" borderId="5" xfId="1" applyFont="1" applyBorder="1" applyAlignment="1">
      <alignment horizontal="center" wrapText="1"/>
    </xf>
    <xf numFmtId="43" fontId="3" fillId="0" borderId="6" xfId="1" applyFont="1" applyBorder="1" applyAlignment="1">
      <alignment horizontal="center" wrapText="1"/>
    </xf>
    <xf numFmtId="165" fontId="3" fillId="0" borderId="3" xfId="0" applyNumberFormat="1" applyFont="1" applyFill="1" applyBorder="1" applyAlignment="1">
      <alignment horizontal="center" vertical="center"/>
    </xf>
    <xf numFmtId="43" fontId="3" fillId="0" borderId="1" xfId="1" applyFont="1" applyFill="1" applyBorder="1" applyAlignment="1">
      <alignment horizontal="center" vertical="center" wrapText="1"/>
    </xf>
    <xf numFmtId="43" fontId="3" fillId="0" borderId="1" xfId="1" applyFont="1" applyFill="1" applyBorder="1" applyAlignment="1">
      <alignment horizontal="center" vertical="center"/>
    </xf>
    <xf numFmtId="43" fontId="0" fillId="0" borderId="0" xfId="0" applyNumberFormat="1" applyFont="1"/>
    <xf numFmtId="164" fontId="0" fillId="0" borderId="7" xfId="1" applyNumberFormat="1" applyFont="1" applyFill="1" applyBorder="1"/>
    <xf numFmtId="0" fontId="3" fillId="3" borderId="8" xfId="3" applyNumberFormat="1" applyFont="1" applyFill="1" applyBorder="1" applyAlignment="1">
      <alignment horizontal="center" vertical="center" wrapText="1"/>
    </xf>
    <xf numFmtId="0" fontId="5" fillId="0" borderId="0" xfId="0" applyFont="1" applyAlignment="1">
      <alignment horizontal="left" wrapText="1"/>
    </xf>
    <xf numFmtId="4" fontId="3" fillId="0" borderId="0" xfId="0" applyNumberFormat="1" applyFont="1" applyAlignment="1">
      <alignment wrapText="1"/>
    </xf>
    <xf numFmtId="4" fontId="3" fillId="0" borderId="0" xfId="0" applyNumberFormat="1" applyFont="1" applyAlignment="1">
      <alignment horizontal="right" wrapText="1"/>
    </xf>
    <xf numFmtId="166" fontId="5" fillId="0" borderId="0" xfId="0" applyNumberFormat="1" applyFont="1" applyBorder="1" applyAlignment="1">
      <alignment horizontal="right" wrapText="1"/>
    </xf>
    <xf numFmtId="0" fontId="3" fillId="0" borderId="0" xfId="0" applyFont="1" applyAlignment="1">
      <alignment horizontal="left" wrapText="1"/>
    </xf>
    <xf numFmtId="164" fontId="3" fillId="0" borderId="0" xfId="1" applyNumberFormat="1" applyFont="1" applyAlignment="1">
      <alignment horizontal="right" wrapText="1"/>
    </xf>
    <xf numFmtId="164" fontId="5" fillId="0" borderId="16" xfId="1" applyNumberFormat="1" applyFont="1" applyBorder="1" applyAlignment="1">
      <alignment horizontal="right" wrapText="1"/>
    </xf>
    <xf numFmtId="164" fontId="3" fillId="0" borderId="0" xfId="1" applyNumberFormat="1" applyFont="1" applyAlignment="1">
      <alignment wrapText="1"/>
    </xf>
    <xf numFmtId="0" fontId="3" fillId="0" borderId="0" xfId="0" applyFont="1" applyAlignment="1"/>
    <xf numFmtId="0" fontId="0" fillId="0" borderId="0" xfId="0" applyFont="1" applyAlignment="1"/>
    <xf numFmtId="164" fontId="0" fillId="0" borderId="0" xfId="1" applyNumberFormat="1" applyFont="1"/>
    <xf numFmtId="164" fontId="0" fillId="0" borderId="7" xfId="1" applyNumberFormat="1" applyFont="1" applyBorder="1"/>
    <xf numFmtId="0" fontId="0" fillId="0" borderId="0" xfId="0" applyFont="1" applyFill="1" applyBorder="1" applyAlignment="1">
      <alignment wrapText="1"/>
    </xf>
    <xf numFmtId="0" fontId="0" fillId="0" borderId="0" xfId="0" applyFont="1" applyAlignment="1">
      <alignment wrapText="1"/>
    </xf>
    <xf numFmtId="43" fontId="0" fillId="0" borderId="0" xfId="1" applyNumberFormat="1" applyFont="1" applyFill="1" applyBorder="1"/>
    <xf numFmtId="0" fontId="0" fillId="0" borderId="0" xfId="0" applyFill="1"/>
    <xf numFmtId="164" fontId="0" fillId="0" borderId="0" xfId="0" applyNumberFormat="1" applyFont="1" applyFill="1" applyBorder="1"/>
    <xf numFmtId="0" fontId="0" fillId="0" borderId="0" xfId="0" applyFont="1" applyBorder="1"/>
    <xf numFmtId="41" fontId="0" fillId="0" borderId="0" xfId="0" applyNumberFormat="1" applyFont="1" applyBorder="1"/>
    <xf numFmtId="0" fontId="2" fillId="0" borderId="17" xfId="0" applyFont="1" applyFill="1" applyBorder="1" applyAlignment="1">
      <alignment horizontal="center" wrapText="1"/>
    </xf>
    <xf numFmtId="0" fontId="2" fillId="0" borderId="0" xfId="0" applyFont="1" applyFill="1" applyBorder="1" applyAlignment="1">
      <alignment horizontal="center" wrapText="1"/>
    </xf>
    <xf numFmtId="0" fontId="0" fillId="0" borderId="17" xfId="0" applyFont="1" applyFill="1" applyBorder="1"/>
    <xf numFmtId="41" fontId="0" fillId="0" borderId="14" xfId="0" applyNumberFormat="1" applyFont="1" applyFill="1" applyBorder="1"/>
    <xf numFmtId="0" fontId="12" fillId="0" borderId="17" xfId="0" applyFont="1" applyBorder="1"/>
    <xf numFmtId="167" fontId="13" fillId="0" borderId="14" xfId="0" applyNumberFormat="1" applyFont="1" applyBorder="1" applyAlignment="1">
      <alignment horizontal="center"/>
    </xf>
    <xf numFmtId="0" fontId="0" fillId="0" borderId="17" xfId="0" applyFont="1" applyBorder="1"/>
    <xf numFmtId="41" fontId="0" fillId="0" borderId="14" xfId="0" applyNumberFormat="1" applyFont="1" applyBorder="1"/>
    <xf numFmtId="41" fontId="0" fillId="0" borderId="19" xfId="0" applyNumberFormat="1" applyFont="1" applyBorder="1"/>
    <xf numFmtId="41" fontId="0" fillId="0" borderId="5" xfId="0" applyNumberFormat="1" applyFont="1" applyBorder="1"/>
    <xf numFmtId="41" fontId="0" fillId="0" borderId="0" xfId="0" applyNumberFormat="1" applyFont="1"/>
    <xf numFmtId="0" fontId="2" fillId="0" borderId="0" xfId="0" applyFont="1" applyAlignment="1"/>
    <xf numFmtId="41" fontId="0" fillId="0" borderId="21" xfId="0" applyNumberFormat="1" applyFont="1" applyBorder="1"/>
    <xf numFmtId="0" fontId="0" fillId="0" borderId="19" xfId="0" applyFont="1" applyBorder="1"/>
    <xf numFmtId="0" fontId="0" fillId="0" borderId="18" xfId="0" applyFont="1" applyBorder="1"/>
    <xf numFmtId="0" fontId="15" fillId="0" borderId="1" xfId="0" applyFont="1" applyBorder="1" applyAlignment="1">
      <alignment horizontal="center" vertical="center"/>
    </xf>
    <xf numFmtId="0" fontId="16" fillId="0" borderId="1" xfId="0" applyFont="1" applyBorder="1" applyAlignment="1">
      <alignment horizontal="center" vertical="center"/>
    </xf>
    <xf numFmtId="0" fontId="0" fillId="0" borderId="14" xfId="0" applyFont="1" applyFill="1" applyBorder="1"/>
    <xf numFmtId="0" fontId="0" fillId="0" borderId="5" xfId="0" applyFont="1" applyBorder="1"/>
    <xf numFmtId="41" fontId="0" fillId="0" borderId="22" xfId="0" applyNumberFormat="1" applyFont="1" applyBorder="1"/>
    <xf numFmtId="41" fontId="13" fillId="0" borderId="0" xfId="0" applyNumberFormat="1" applyFont="1" applyBorder="1" applyAlignment="1">
      <alignment horizontal="center" wrapText="1"/>
    </xf>
    <xf numFmtId="41" fontId="13" fillId="0" borderId="14" xfId="0" applyNumberFormat="1" applyFont="1" applyBorder="1" applyAlignment="1">
      <alignment horizontal="center" wrapText="1"/>
    </xf>
    <xf numFmtId="164" fontId="0" fillId="0" borderId="0" xfId="1" applyNumberFormat="1" applyFont="1" applyBorder="1"/>
    <xf numFmtId="164" fontId="0" fillId="0" borderId="14" xfId="1" applyNumberFormat="1" applyFont="1" applyBorder="1"/>
    <xf numFmtId="164" fontId="0" fillId="0" borderId="19" xfId="1" applyNumberFormat="1" applyFont="1" applyBorder="1"/>
    <xf numFmtId="164" fontId="0" fillId="0" borderId="13" xfId="1" applyNumberFormat="1" applyFont="1" applyBorder="1"/>
    <xf numFmtId="164" fontId="0" fillId="0" borderId="20" xfId="1" applyNumberFormat="1" applyFont="1" applyBorder="1"/>
    <xf numFmtId="164" fontId="0" fillId="0" borderId="21" xfId="1" applyNumberFormat="1" applyFont="1" applyBorder="1"/>
    <xf numFmtId="164" fontId="0" fillId="0" borderId="5" xfId="1" applyNumberFormat="1" applyFont="1" applyBorder="1"/>
    <xf numFmtId="0" fontId="0" fillId="0" borderId="0" xfId="0"/>
    <xf numFmtId="165" fontId="0" fillId="0" borderId="0" xfId="0" applyNumberFormat="1" applyFont="1"/>
    <xf numFmtId="0" fontId="0" fillId="0" borderId="0" xfId="0"/>
    <xf numFmtId="0" fontId="36" fillId="0" borderId="0" xfId="0" applyFont="1" applyAlignment="1">
      <alignment horizontal="left" wrapText="1"/>
    </xf>
    <xf numFmtId="4" fontId="37" fillId="0" borderId="0" xfId="0" applyNumberFormat="1" applyFont="1" applyAlignment="1">
      <alignment wrapText="1"/>
    </xf>
    <xf numFmtId="4" fontId="37" fillId="0" borderId="0" xfId="0" applyNumberFormat="1" applyFont="1" applyAlignment="1">
      <alignment horizontal="right" wrapText="1"/>
    </xf>
    <xf numFmtId="10" fontId="37" fillId="0" borderId="0" xfId="0" applyNumberFormat="1" applyFont="1" applyAlignment="1">
      <alignment horizontal="right" wrapText="1"/>
    </xf>
    <xf numFmtId="0" fontId="38" fillId="0" borderId="0" xfId="0" applyFont="1"/>
    <xf numFmtId="0" fontId="38" fillId="0" borderId="0" xfId="0" applyFont="1" applyAlignment="1">
      <alignment wrapText="1"/>
    </xf>
    <xf numFmtId="0" fontId="36" fillId="0" borderId="15" xfId="0" applyFont="1" applyBorder="1" applyAlignment="1">
      <alignment horizontal="center" wrapText="1"/>
    </xf>
    <xf numFmtId="0" fontId="38" fillId="4" borderId="0" xfId="0" applyFont="1" applyFill="1"/>
    <xf numFmtId="4" fontId="38" fillId="4" borderId="0" xfId="0" applyNumberFormat="1" applyFont="1" applyFill="1"/>
    <xf numFmtId="0" fontId="38" fillId="4" borderId="0" xfId="0" applyFont="1" applyFill="1" applyAlignment="1">
      <alignment horizontal="center"/>
    </xf>
    <xf numFmtId="41" fontId="0" fillId="0" borderId="32" xfId="0" applyNumberFormat="1" applyFont="1" applyBorder="1"/>
    <xf numFmtId="41" fontId="0" fillId="0" borderId="33" xfId="0" applyNumberFormat="1" applyFont="1" applyBorder="1"/>
    <xf numFmtId="0" fontId="38" fillId="0" borderId="0" xfId="0" applyFont="1"/>
    <xf numFmtId="0" fontId="38" fillId="0" borderId="0" xfId="0" applyFont="1"/>
    <xf numFmtId="164" fontId="3" fillId="0" borderId="0" xfId="1" applyNumberFormat="1" applyFont="1" applyFill="1"/>
    <xf numFmtId="43" fontId="0" fillId="0" borderId="0" xfId="0" applyNumberFormat="1"/>
    <xf numFmtId="4" fontId="41" fillId="0" borderId="0" xfId="0" applyNumberFormat="1" applyFont="1" applyAlignment="1">
      <alignment horizontal="right" wrapText="1"/>
    </xf>
    <xf numFmtId="4" fontId="41" fillId="0" borderId="0" xfId="0" applyNumberFormat="1" applyFont="1" applyAlignment="1">
      <alignment wrapText="1"/>
    </xf>
    <xf numFmtId="166" fontId="42" fillId="0" borderId="16" xfId="0" applyNumberFormat="1" applyFont="1" applyBorder="1" applyAlignment="1">
      <alignment horizontal="right" wrapText="1"/>
    </xf>
    <xf numFmtId="0" fontId="43" fillId="0" borderId="0" xfId="3" applyFont="1" applyFill="1" applyBorder="1" applyAlignment="1">
      <alignment wrapText="1"/>
    </xf>
    <xf numFmtId="0" fontId="43" fillId="0" borderId="0" xfId="3" applyFont="1" applyFill="1" applyBorder="1" applyAlignment="1">
      <alignment horizontal="center"/>
    </xf>
    <xf numFmtId="0" fontId="45" fillId="0" borderId="17" xfId="3" applyFont="1" applyBorder="1"/>
    <xf numFmtId="41" fontId="46" fillId="0" borderId="14" xfId="3" applyNumberFormat="1" applyFont="1" applyBorder="1" applyAlignment="1">
      <alignment horizontal="center" wrapText="1"/>
    </xf>
    <xf numFmtId="41" fontId="46" fillId="0" borderId="0" xfId="3" applyNumberFormat="1" applyFont="1" applyBorder="1" applyAlignment="1">
      <alignment horizontal="center" wrapText="1"/>
    </xf>
    <xf numFmtId="41" fontId="46" fillId="0" borderId="17" xfId="3" applyNumberFormat="1" applyFont="1" applyBorder="1" applyAlignment="1">
      <alignment horizontal="center" wrapText="1"/>
    </xf>
    <xf numFmtId="0" fontId="43" fillId="0" borderId="17" xfId="3" applyFont="1" applyBorder="1"/>
    <xf numFmtId="164" fontId="47" fillId="0" borderId="14" xfId="1" applyNumberFormat="1" applyFont="1" applyBorder="1"/>
    <xf numFmtId="164" fontId="47" fillId="0" borderId="0" xfId="1" applyNumberFormat="1" applyFont="1" applyBorder="1"/>
    <xf numFmtId="164" fontId="47" fillId="0" borderId="17" xfId="1" applyNumberFormat="1" applyFont="1" applyBorder="1"/>
    <xf numFmtId="41" fontId="43" fillId="0" borderId="14" xfId="3" applyNumberFormat="1" applyFont="1" applyBorder="1"/>
    <xf numFmtId="41" fontId="0" fillId="0" borderId="0" xfId="0" applyNumberFormat="1"/>
    <xf numFmtId="164" fontId="47" fillId="0" borderId="32" xfId="1" applyNumberFormat="1" applyFont="1" applyBorder="1"/>
    <xf numFmtId="164" fontId="43" fillId="0" borderId="34" xfId="1" applyNumberFormat="1" applyFont="1" applyBorder="1"/>
    <xf numFmtId="164" fontId="43" fillId="0" borderId="32" xfId="1" applyNumberFormat="1" applyFont="1" applyBorder="1"/>
    <xf numFmtId="164" fontId="43" fillId="0" borderId="14" xfId="1" applyNumberFormat="1" applyFont="1" applyBorder="1"/>
    <xf numFmtId="164" fontId="43" fillId="0" borderId="0" xfId="1" applyNumberFormat="1" applyFont="1" applyBorder="1"/>
    <xf numFmtId="41" fontId="43" fillId="0" borderId="17" xfId="3" applyNumberFormat="1" applyFont="1" applyFill="1" applyBorder="1"/>
    <xf numFmtId="41" fontId="43" fillId="0" borderId="14" xfId="3" applyNumberFormat="1" applyFont="1" applyFill="1" applyBorder="1"/>
    <xf numFmtId="164" fontId="47" fillId="0" borderId="17" xfId="1" applyNumberFormat="1" applyFont="1" applyFill="1" applyBorder="1"/>
    <xf numFmtId="41" fontId="43" fillId="0" borderId="0" xfId="3" applyNumberFormat="1" applyFont="1" applyFill="1" applyBorder="1"/>
    <xf numFmtId="164" fontId="47" fillId="0" borderId="14" xfId="1" applyNumberFormat="1" applyFont="1" applyFill="1" applyBorder="1"/>
    <xf numFmtId="164" fontId="47" fillId="0" borderId="0" xfId="1" applyNumberFormat="1" applyFont="1" applyFill="1" applyBorder="1"/>
    <xf numFmtId="164" fontId="47" fillId="0" borderId="32" xfId="1" applyNumberFormat="1" applyFont="1" applyFill="1" applyBorder="1"/>
    <xf numFmtId="164" fontId="43" fillId="0" borderId="34" xfId="1" applyNumberFormat="1" applyFont="1" applyFill="1" applyBorder="1"/>
    <xf numFmtId="164" fontId="43" fillId="0" borderId="32" xfId="1" applyNumberFormat="1" applyFont="1" applyFill="1" applyBorder="1"/>
    <xf numFmtId="164" fontId="43" fillId="0" borderId="17" xfId="1" applyNumberFormat="1" applyFont="1" applyFill="1" applyBorder="1"/>
    <xf numFmtId="164" fontId="43" fillId="0" borderId="14" xfId="1" applyNumberFormat="1" applyFont="1" applyFill="1" applyBorder="1"/>
    <xf numFmtId="0" fontId="45" fillId="0" borderId="18" xfId="3" applyFont="1" applyBorder="1"/>
    <xf numFmtId="164" fontId="43" fillId="0" borderId="33" xfId="1" applyNumberFormat="1" applyFont="1" applyFill="1" applyBorder="1"/>
    <xf numFmtId="164" fontId="43" fillId="0" borderId="35" xfId="1" applyNumberFormat="1" applyFont="1" applyFill="1" applyBorder="1"/>
    <xf numFmtId="0" fontId="43" fillId="0" borderId="0" xfId="3" applyFont="1" applyBorder="1"/>
    <xf numFmtId="0" fontId="47" fillId="0" borderId="0" xfId="3" applyFont="1" applyBorder="1"/>
    <xf numFmtId="0" fontId="47" fillId="0" borderId="36" xfId="3" applyFont="1" applyBorder="1"/>
    <xf numFmtId="164" fontId="0" fillId="0" borderId="0" xfId="0" applyNumberFormat="1" applyBorder="1"/>
    <xf numFmtId="0" fontId="0" fillId="0" borderId="0" xfId="0" applyBorder="1"/>
    <xf numFmtId="0" fontId="11" fillId="0" borderId="0" xfId="0" applyFont="1"/>
    <xf numFmtId="15" fontId="11" fillId="0" borderId="0" xfId="0" applyNumberFormat="1" applyFont="1" applyAlignment="1">
      <alignment horizontal="left"/>
    </xf>
    <xf numFmtId="164" fontId="43" fillId="0" borderId="0" xfId="1" applyNumberFormat="1" applyFont="1" applyFill="1" applyBorder="1"/>
    <xf numFmtId="0" fontId="47" fillId="27" borderId="11" xfId="3" applyFont="1" applyFill="1" applyBorder="1" applyAlignment="1" applyProtection="1">
      <alignment horizontal="center" vertical="center" wrapText="1"/>
      <protection locked="0"/>
    </xf>
    <xf numFmtId="164" fontId="47" fillId="27" borderId="1" xfId="45" applyNumberFormat="1" applyFont="1" applyFill="1" applyBorder="1" applyAlignment="1" applyProtection="1">
      <alignment horizontal="center" vertical="center" wrapText="1"/>
      <protection locked="0"/>
    </xf>
    <xf numFmtId="164" fontId="47" fillId="27" borderId="1" xfId="45" applyNumberFormat="1" applyFont="1" applyFill="1" applyBorder="1" applyAlignment="1" applyProtection="1">
      <alignment vertical="center"/>
      <protection locked="0"/>
    </xf>
    <xf numFmtId="0" fontId="47" fillId="0" borderId="19" xfId="0" applyFont="1" applyBorder="1" applyAlignment="1">
      <alignment horizontal="left"/>
    </xf>
    <xf numFmtId="0" fontId="47" fillId="0" borderId="0" xfId="0" applyFont="1" applyAlignment="1">
      <alignment horizontal="left"/>
    </xf>
    <xf numFmtId="0" fontId="47" fillId="0" borderId="0" xfId="0" applyFont="1" applyAlignment="1">
      <alignment vertical="center"/>
    </xf>
    <xf numFmtId="0" fontId="47" fillId="0" borderId="0" xfId="0" applyFont="1" applyAlignment="1"/>
    <xf numFmtId="164" fontId="3" fillId="0" borderId="0" xfId="1" applyNumberFormat="1" applyFont="1" applyAlignment="1" applyProtection="1">
      <alignment horizontal="right" wrapText="1"/>
    </xf>
    <xf numFmtId="164" fontId="0" fillId="27" borderId="1" xfId="1" applyNumberFormat="1" applyFont="1" applyFill="1" applyBorder="1"/>
    <xf numFmtId="0" fontId="38" fillId="0" borderId="0" xfId="0" applyFont="1"/>
    <xf numFmtId="164" fontId="3" fillId="0" borderId="0" xfId="1" applyNumberFormat="1" applyFont="1" applyFill="1" applyAlignment="1" applyProtection="1">
      <alignment horizontal="right" wrapText="1"/>
    </xf>
    <xf numFmtId="0" fontId="42" fillId="0" borderId="0" xfId="0" applyFont="1" applyAlignment="1">
      <alignment horizontal="left" wrapText="1"/>
    </xf>
    <xf numFmtId="10" fontId="41" fillId="0" borderId="0" xfId="0" applyNumberFormat="1" applyFont="1" applyAlignment="1">
      <alignment horizontal="right" wrapText="1"/>
    </xf>
    <xf numFmtId="10" fontId="42" fillId="0" borderId="16" xfId="0" applyNumberFormat="1" applyFont="1" applyBorder="1" applyAlignment="1">
      <alignment horizontal="right" wrapText="1"/>
    </xf>
    <xf numFmtId="0" fontId="0" fillId="0" borderId="0" xfId="0" applyAlignment="1">
      <alignment wrapText="1"/>
    </xf>
    <xf numFmtId="41" fontId="0" fillId="0" borderId="1" xfId="0" applyNumberFormat="1" applyFont="1" applyBorder="1" applyAlignment="1">
      <alignment horizontal="left" vertical="center" wrapText="1"/>
    </xf>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41" fontId="0" fillId="0" borderId="1" xfId="0" applyNumberFormat="1" applyFont="1" applyFill="1" applyBorder="1" applyAlignment="1">
      <alignment horizontal="left" vertical="center" wrapText="1"/>
    </xf>
    <xf numFmtId="0" fontId="2" fillId="3" borderId="1" xfId="0" applyFont="1" applyFill="1" applyBorder="1" applyAlignment="1">
      <alignment horizontal="center" vertical="center"/>
    </xf>
    <xf numFmtId="0" fontId="14" fillId="3" borderId="1" xfId="0" applyFont="1" applyFill="1" applyBorder="1" applyAlignment="1">
      <alignment horizontal="center" vertical="center" wrapText="1"/>
    </xf>
    <xf numFmtId="0" fontId="2" fillId="0" borderId="0" xfId="0" applyFont="1" applyAlignment="1">
      <alignment horizontal="center" wrapText="1"/>
    </xf>
    <xf numFmtId="0" fontId="18" fillId="3" borderId="1"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11" xfId="0" applyFont="1" applyFill="1" applyBorder="1" applyAlignment="1">
      <alignment horizontal="center" vertical="center"/>
    </xf>
    <xf numFmtId="0" fontId="0" fillId="0" borderId="2"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4" xfId="0" applyFont="1" applyFill="1" applyBorder="1" applyAlignment="1">
      <alignment horizontal="left" vertical="center" wrapText="1"/>
    </xf>
    <xf numFmtId="0" fontId="14" fillId="3" borderId="6" xfId="0" applyFont="1" applyFill="1" applyBorder="1" applyAlignment="1">
      <alignment horizontal="center" vertical="center"/>
    </xf>
    <xf numFmtId="14" fontId="43" fillId="3" borderId="2" xfId="3" applyNumberFormat="1" applyFont="1" applyFill="1" applyBorder="1" applyAlignment="1">
      <alignment horizontal="center" wrapText="1"/>
    </xf>
    <xf numFmtId="14" fontId="43" fillId="3" borderId="4" xfId="3" applyNumberFormat="1" applyFont="1" applyFill="1" applyBorder="1" applyAlignment="1">
      <alignment horizontal="center" wrapText="1"/>
    </xf>
    <xf numFmtId="14" fontId="43" fillId="3" borderId="1" xfId="3" applyNumberFormat="1" applyFont="1" applyFill="1" applyBorder="1" applyAlignment="1">
      <alignment horizontal="center" wrapText="1"/>
    </xf>
    <xf numFmtId="0" fontId="43" fillId="3" borderId="1" xfId="3" applyFont="1" applyFill="1" applyBorder="1" applyAlignment="1">
      <alignment horizontal="center" wrapText="1"/>
    </xf>
    <xf numFmtId="0" fontId="44" fillId="3" borderId="2" xfId="3" applyFont="1" applyFill="1" applyBorder="1" applyAlignment="1">
      <alignment horizontal="center" wrapText="1"/>
    </xf>
    <xf numFmtId="0" fontId="44" fillId="3" borderId="4" xfId="3" applyFont="1" applyFill="1" applyBorder="1" applyAlignment="1">
      <alignment horizontal="center" wrapText="1"/>
    </xf>
    <xf numFmtId="0" fontId="4" fillId="0" borderId="10"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xf>
    <xf numFmtId="0" fontId="3" fillId="3" borderId="8" xfId="3"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5" fillId="0" borderId="2" xfId="0" applyFont="1" applyFill="1" applyBorder="1" applyAlignment="1">
      <alignment horizontal="right" vertical="center"/>
    </xf>
    <xf numFmtId="0" fontId="5" fillId="0" borderId="3" xfId="0" applyFont="1" applyFill="1" applyBorder="1" applyAlignment="1">
      <alignment horizontal="right" vertical="center"/>
    </xf>
    <xf numFmtId="0" fontId="5" fillId="0" borderId="4" xfId="0" applyFont="1" applyFill="1" applyBorder="1" applyAlignment="1">
      <alignment horizontal="right"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4" xfId="0" applyFont="1" applyFill="1" applyBorder="1" applyAlignment="1">
      <alignment horizontal="center" vertical="center"/>
    </xf>
    <xf numFmtId="0" fontId="36" fillId="0" borderId="15" xfId="0" applyFont="1" applyBorder="1" applyAlignment="1">
      <alignment horizontal="center" wrapText="1"/>
    </xf>
    <xf numFmtId="0" fontId="38" fillId="0" borderId="0" xfId="0" applyFont="1" applyAlignment="1">
      <alignment wrapText="1"/>
    </xf>
    <xf numFmtId="0" fontId="37" fillId="0" borderId="0" xfId="0" applyFont="1" applyAlignment="1">
      <alignment horizontal="center"/>
    </xf>
    <xf numFmtId="0" fontId="38" fillId="0" borderId="0" xfId="0" applyFont="1"/>
    <xf numFmtId="0" fontId="36" fillId="0" borderId="0" xfId="0" applyFont="1" applyAlignment="1">
      <alignment horizontal="center"/>
    </xf>
  </cellXfs>
  <cellStyles count="47">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Bad 2" xfId="28"/>
    <cellStyle name="Calculation 2" xfId="29"/>
    <cellStyle name="Check Cell 2" xfId="30"/>
    <cellStyle name="Comma" xfId="1" builtinId="3"/>
    <cellStyle name="Comma 2" xfId="45"/>
    <cellStyle name="Explanatory Text 2" xfId="31"/>
    <cellStyle name="Good 2" xfId="32"/>
    <cellStyle name="Heading 1 2" xfId="33"/>
    <cellStyle name="Heading 2 2" xfId="34"/>
    <cellStyle name="Heading 3 2" xfId="35"/>
    <cellStyle name="Heading 4 2" xfId="36"/>
    <cellStyle name="Hyperlink" xfId="2" builtinId="8"/>
    <cellStyle name="Input 2" xfId="37"/>
    <cellStyle name="Linked Cell 2" xfId="38"/>
    <cellStyle name="Neutral 2" xfId="39"/>
    <cellStyle name="Normal" xfId="0" builtinId="0"/>
    <cellStyle name="Normal 2" xfId="3"/>
    <cellStyle name="Normal 3" xfId="46"/>
    <cellStyle name="Note 2" xfId="40"/>
    <cellStyle name="Output 2" xfId="41"/>
    <cellStyle name="Title 2" xfId="42"/>
    <cellStyle name="Total 2" xfId="43"/>
    <cellStyle name="Warning Text 2" xfId="44"/>
  </cellStyles>
  <dxfs count="20">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baseline="0"/>
              <a:t>2012-2013 Annual Projection</a:t>
            </a:r>
          </a:p>
          <a:p>
            <a:pPr>
              <a:defRPr sz="1400"/>
            </a:pPr>
            <a:r>
              <a:rPr lang="en-US" sz="1400" baseline="0"/>
              <a:t>Monthly Report Variance</a:t>
            </a:r>
            <a:endParaRPr lang="en-US" sz="1400"/>
          </a:p>
        </c:rich>
      </c:tx>
      <c:overlay val="0"/>
    </c:title>
    <c:autoTitleDeleted val="0"/>
    <c:plotArea>
      <c:layout/>
      <c:lineChart>
        <c:grouping val="standard"/>
        <c:varyColors val="0"/>
        <c:ser>
          <c:idx val="0"/>
          <c:order val="0"/>
          <c:tx>
            <c:v>Revenue</c:v>
          </c:tx>
          <c:marker>
            <c:symbol val="none"/>
          </c:marker>
          <c:cat>
            <c:strRef>
              <c:f>'Summary 2'!$B$51:$B$57</c:f>
              <c:strCache>
                <c:ptCount val="7"/>
                <c:pt idx="0">
                  <c:v>Budget</c:v>
                </c:pt>
                <c:pt idx="1">
                  <c:v>30-Sep-12</c:v>
                </c:pt>
                <c:pt idx="2">
                  <c:v>31-Oct-12</c:v>
                </c:pt>
                <c:pt idx="3">
                  <c:v>30-Nov-12</c:v>
                </c:pt>
                <c:pt idx="4">
                  <c:v>31-Dec-12</c:v>
                </c:pt>
                <c:pt idx="5">
                  <c:v>31-Jan-13</c:v>
                </c:pt>
                <c:pt idx="6">
                  <c:v>28-Feb-13</c:v>
                </c:pt>
              </c:strCache>
            </c:strRef>
          </c:cat>
          <c:val>
            <c:numRef>
              <c:f>('Summary 2'!$C$28,'Summary 2'!$E$28,'Summary 2'!$H$28,'Summary 2'!$K$28,'Summary 2'!$N$28,'Summary 2'!$Q$28,'Summary 2'!$T$28)</c:f>
              <c:numCache>
                <c:formatCode>_(* #,##0_);_(* \(#,##0\);_(* "-"??_);_(@_)</c:formatCode>
                <c:ptCount val="7"/>
                <c:pt idx="0">
                  <c:v>4736325</c:v>
                </c:pt>
                <c:pt idx="1">
                  <c:v>5018340.2929999996</c:v>
                </c:pt>
                <c:pt idx="2">
                  <c:v>5158332.8430000003</c:v>
                </c:pt>
                <c:pt idx="3">
                  <c:v>5074773.45</c:v>
                </c:pt>
                <c:pt idx="4">
                  <c:v>5051260.293333333</c:v>
                </c:pt>
                <c:pt idx="5">
                  <c:v>5051535.1161904754</c:v>
                </c:pt>
                <c:pt idx="6">
                  <c:v>5191396.163333334</c:v>
                </c:pt>
              </c:numCache>
            </c:numRef>
          </c:val>
          <c:smooth val="0"/>
        </c:ser>
        <c:ser>
          <c:idx val="1"/>
          <c:order val="1"/>
          <c:tx>
            <c:v>Expenses</c:v>
          </c:tx>
          <c:marker>
            <c:symbol val="none"/>
          </c:marker>
          <c:cat>
            <c:strRef>
              <c:f>'Summary 2'!$B$51:$B$57</c:f>
              <c:strCache>
                <c:ptCount val="7"/>
                <c:pt idx="0">
                  <c:v>Budget</c:v>
                </c:pt>
                <c:pt idx="1">
                  <c:v>30-Sep-12</c:v>
                </c:pt>
                <c:pt idx="2">
                  <c:v>31-Oct-12</c:v>
                </c:pt>
                <c:pt idx="3">
                  <c:v>30-Nov-12</c:v>
                </c:pt>
                <c:pt idx="4">
                  <c:v>31-Dec-12</c:v>
                </c:pt>
                <c:pt idx="5">
                  <c:v>31-Jan-13</c:v>
                </c:pt>
                <c:pt idx="6">
                  <c:v>28-Feb-13</c:v>
                </c:pt>
              </c:strCache>
            </c:strRef>
          </c:cat>
          <c:val>
            <c:numRef>
              <c:f>('Summary 2'!$C$42,'Summary 2'!$E$42,'Summary 2'!$H$42,'Summary 2'!$K$42,'Summary 2'!$N$42,'Summary 2'!$Q$42,'Summary 2'!$T$42)</c:f>
              <c:numCache>
                <c:formatCode>_(* #,##0_);_(* \(#,##0\);_(* "-"??_);_(@_)</c:formatCode>
                <c:ptCount val="7"/>
                <c:pt idx="0">
                  <c:v>4951693</c:v>
                </c:pt>
                <c:pt idx="1">
                  <c:v>4969628.3776449999</c:v>
                </c:pt>
                <c:pt idx="2">
                  <c:v>5102227.7663049996</c:v>
                </c:pt>
                <c:pt idx="3">
                  <c:v>5101046.4985656701</c:v>
                </c:pt>
                <c:pt idx="4">
                  <c:v>5096786.1277816696</c:v>
                </c:pt>
                <c:pt idx="5">
                  <c:v>5103406.4351826189</c:v>
                </c:pt>
                <c:pt idx="6">
                  <c:v>5174845.8921908336</c:v>
                </c:pt>
              </c:numCache>
            </c:numRef>
          </c:val>
          <c:smooth val="0"/>
        </c:ser>
        <c:dLbls>
          <c:showLegendKey val="0"/>
          <c:showVal val="0"/>
          <c:showCatName val="0"/>
          <c:showSerName val="0"/>
          <c:showPercent val="0"/>
          <c:showBubbleSize val="0"/>
        </c:dLbls>
        <c:marker val="1"/>
        <c:smooth val="0"/>
        <c:axId val="176286336"/>
        <c:axId val="169005440"/>
      </c:lineChart>
      <c:catAx>
        <c:axId val="176286336"/>
        <c:scaling>
          <c:orientation val="minMax"/>
        </c:scaling>
        <c:delete val="0"/>
        <c:axPos val="b"/>
        <c:majorTickMark val="none"/>
        <c:minorTickMark val="none"/>
        <c:tickLblPos val="nextTo"/>
        <c:crossAx val="169005440"/>
        <c:crosses val="autoZero"/>
        <c:auto val="1"/>
        <c:lblAlgn val="ctr"/>
        <c:lblOffset val="100"/>
        <c:noMultiLvlLbl val="0"/>
      </c:catAx>
      <c:valAx>
        <c:axId val="169005440"/>
        <c:scaling>
          <c:orientation val="minMax"/>
        </c:scaling>
        <c:delete val="0"/>
        <c:axPos val="l"/>
        <c:majorGridlines/>
        <c:title>
          <c:tx>
            <c:rich>
              <a:bodyPr/>
              <a:lstStyle/>
              <a:p>
                <a:pPr>
                  <a:defRPr/>
                </a:pPr>
                <a:r>
                  <a:rPr lang="en-US"/>
                  <a:t>Dollars</a:t>
                </a:r>
              </a:p>
            </c:rich>
          </c:tx>
          <c:overlay val="0"/>
        </c:title>
        <c:numFmt formatCode="_(* #,##0_);_(* \(#,##0\);_(* &quot;-&quot;??_);_(@_)" sourceLinked="1"/>
        <c:majorTickMark val="none"/>
        <c:minorTickMark val="none"/>
        <c:tickLblPos val="nextTo"/>
        <c:crossAx val="176286336"/>
        <c:crosses val="autoZero"/>
        <c:crossBetween val="between"/>
      </c:valAx>
      <c:dTable>
        <c:showHorzBorder val="1"/>
        <c:showVertBorder val="1"/>
        <c:showOutline val="1"/>
        <c:showKeys val="1"/>
      </c:dTable>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cid:351862AC-BF1C-4BFB-AB5C-F0BF23BF401B"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178594</xdr:colOff>
      <xdr:row>1</xdr:row>
      <xdr:rowOff>95250</xdr:rowOff>
    </xdr:from>
    <xdr:to>
      <xdr:col>1</xdr:col>
      <xdr:colOff>207169</xdr:colOff>
      <xdr:row>1</xdr:row>
      <xdr:rowOff>807720</xdr:rowOff>
    </xdr:to>
    <xdr:pic>
      <xdr:nvPicPr>
        <xdr:cNvPr id="4" name="351862AC-BF1C-4BFB-AB5C-F0BF23BF401B" descr="cid:351862AC-BF1C-4BFB-AB5C-F0BF23BF401B"/>
        <xdr:cNvPicPr/>
      </xdr:nvPicPr>
      <xdr:blipFill>
        <a:blip xmlns:r="http://schemas.openxmlformats.org/officeDocument/2006/relationships" r:embed="rId1" r:link="rId2" cstate="print"/>
        <a:stretch>
          <a:fillRect/>
        </a:stretch>
      </xdr:blipFill>
      <xdr:spPr bwMode="auto">
        <a:xfrm>
          <a:off x="178594" y="285750"/>
          <a:ext cx="2743200" cy="7124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57150</xdr:rowOff>
    </xdr:from>
    <xdr:to>
      <xdr:col>20</xdr:col>
      <xdr:colOff>704850</xdr:colOff>
      <xdr:row>20</xdr:row>
      <xdr:rowOff>38100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1"/>
  <sheetViews>
    <sheetView tabSelected="1" zoomScale="80" zoomScaleNormal="80" workbookViewId="0">
      <selection activeCell="C3" sqref="C3"/>
    </sheetView>
  </sheetViews>
  <sheetFormatPr defaultRowHeight="15" x14ac:dyDescent="0.25"/>
  <cols>
    <col min="1" max="1" width="40.7109375" style="48" customWidth="1"/>
    <col min="2" max="3" width="12.7109375" style="111" customWidth="1"/>
    <col min="4" max="4" width="13.7109375" style="111" customWidth="1"/>
    <col min="5" max="5" width="0.7109375" style="111" customWidth="1"/>
    <col min="6" max="8" width="13.7109375" style="48" customWidth="1"/>
    <col min="9" max="10" width="4.5703125" style="48" customWidth="1"/>
    <col min="11" max="11" width="34.5703125" style="48" customWidth="1"/>
    <col min="12" max="12" width="12.7109375" style="111" customWidth="1"/>
    <col min="13" max="253" width="9.140625" style="48"/>
    <col min="254" max="256" width="12.7109375" style="48" customWidth="1"/>
    <col min="257" max="267" width="9.140625" style="48"/>
    <col min="268" max="268" width="12.7109375" style="48" customWidth="1"/>
    <col min="269" max="509" width="9.140625" style="48"/>
    <col min="510" max="512" width="12.7109375" style="48" customWidth="1"/>
    <col min="513" max="523" width="9.140625" style="48"/>
    <col min="524" max="524" width="12.7109375" style="48" customWidth="1"/>
    <col min="525" max="765" width="9.140625" style="48"/>
    <col min="766" max="768" width="12.7109375" style="48" customWidth="1"/>
    <col min="769" max="779" width="9.140625" style="48"/>
    <col min="780" max="780" width="12.7109375" style="48" customWidth="1"/>
    <col min="781" max="1021" width="9.140625" style="48"/>
    <col min="1022" max="1024" width="12.7109375" style="48" customWidth="1"/>
    <col min="1025" max="1035" width="9.140625" style="48"/>
    <col min="1036" max="1036" width="12.7109375" style="48" customWidth="1"/>
    <col min="1037" max="1277" width="9.140625" style="48"/>
    <col min="1278" max="1280" width="12.7109375" style="48" customWidth="1"/>
    <col min="1281" max="1291" width="9.140625" style="48"/>
    <col min="1292" max="1292" width="12.7109375" style="48" customWidth="1"/>
    <col min="1293" max="1533" width="9.140625" style="48"/>
    <col min="1534" max="1536" width="12.7109375" style="48" customWidth="1"/>
    <col min="1537" max="1547" width="9.140625" style="48"/>
    <col min="1548" max="1548" width="12.7109375" style="48" customWidth="1"/>
    <col min="1549" max="1789" width="9.140625" style="48"/>
    <col min="1790" max="1792" width="12.7109375" style="48" customWidth="1"/>
    <col min="1793" max="1803" width="9.140625" style="48"/>
    <col min="1804" max="1804" width="12.7109375" style="48" customWidth="1"/>
    <col min="1805" max="2045" width="9.140625" style="48"/>
    <col min="2046" max="2048" width="12.7109375" style="48" customWidth="1"/>
    <col min="2049" max="2059" width="9.140625" style="48"/>
    <col min="2060" max="2060" width="12.7109375" style="48" customWidth="1"/>
    <col min="2061" max="2301" width="9.140625" style="48"/>
    <col min="2302" max="2304" width="12.7109375" style="48" customWidth="1"/>
    <col min="2305" max="2315" width="9.140625" style="48"/>
    <col min="2316" max="2316" width="12.7109375" style="48" customWidth="1"/>
    <col min="2317" max="2557" width="9.140625" style="48"/>
    <col min="2558" max="2560" width="12.7109375" style="48" customWidth="1"/>
    <col min="2561" max="2571" width="9.140625" style="48"/>
    <col min="2572" max="2572" width="12.7109375" style="48" customWidth="1"/>
    <col min="2573" max="2813" width="9.140625" style="48"/>
    <col min="2814" max="2816" width="12.7109375" style="48" customWidth="1"/>
    <col min="2817" max="2827" width="9.140625" style="48"/>
    <col min="2828" max="2828" width="12.7109375" style="48" customWidth="1"/>
    <col min="2829" max="3069" width="9.140625" style="48"/>
    <col min="3070" max="3072" width="12.7109375" style="48" customWidth="1"/>
    <col min="3073" max="3083" width="9.140625" style="48"/>
    <col min="3084" max="3084" width="12.7109375" style="48" customWidth="1"/>
    <col min="3085" max="3325" width="9.140625" style="48"/>
    <col min="3326" max="3328" width="12.7109375" style="48" customWidth="1"/>
    <col min="3329" max="3339" width="9.140625" style="48"/>
    <col min="3340" max="3340" width="12.7109375" style="48" customWidth="1"/>
    <col min="3341" max="3581" width="9.140625" style="48"/>
    <col min="3582" max="3584" width="12.7109375" style="48" customWidth="1"/>
    <col min="3585" max="3595" width="9.140625" style="48"/>
    <col min="3596" max="3596" width="12.7109375" style="48" customWidth="1"/>
    <col min="3597" max="3837" width="9.140625" style="48"/>
    <col min="3838" max="3840" width="12.7109375" style="48" customWidth="1"/>
    <col min="3841" max="3851" width="9.140625" style="48"/>
    <col min="3852" max="3852" width="12.7109375" style="48" customWidth="1"/>
    <col min="3853" max="4093" width="9.140625" style="48"/>
    <col min="4094" max="4096" width="12.7109375" style="48" customWidth="1"/>
    <col min="4097" max="4107" width="9.140625" style="48"/>
    <col min="4108" max="4108" width="12.7109375" style="48" customWidth="1"/>
    <col min="4109" max="4349" width="9.140625" style="48"/>
    <col min="4350" max="4352" width="12.7109375" style="48" customWidth="1"/>
    <col min="4353" max="4363" width="9.140625" style="48"/>
    <col min="4364" max="4364" width="12.7109375" style="48" customWidth="1"/>
    <col min="4365" max="4605" width="9.140625" style="48"/>
    <col min="4606" max="4608" width="12.7109375" style="48" customWidth="1"/>
    <col min="4609" max="4619" width="9.140625" style="48"/>
    <col min="4620" max="4620" width="12.7109375" style="48" customWidth="1"/>
    <col min="4621" max="4861" width="9.140625" style="48"/>
    <col min="4862" max="4864" width="12.7109375" style="48" customWidth="1"/>
    <col min="4865" max="4875" width="9.140625" style="48"/>
    <col min="4876" max="4876" width="12.7109375" style="48" customWidth="1"/>
    <col min="4877" max="5117" width="9.140625" style="48"/>
    <col min="5118" max="5120" width="12.7109375" style="48" customWidth="1"/>
    <col min="5121" max="5131" width="9.140625" style="48"/>
    <col min="5132" max="5132" width="12.7109375" style="48" customWidth="1"/>
    <col min="5133" max="5373" width="9.140625" style="48"/>
    <col min="5374" max="5376" width="12.7109375" style="48" customWidth="1"/>
    <col min="5377" max="5387" width="9.140625" style="48"/>
    <col min="5388" max="5388" width="12.7109375" style="48" customWidth="1"/>
    <col min="5389" max="5629" width="9.140625" style="48"/>
    <col min="5630" max="5632" width="12.7109375" style="48" customWidth="1"/>
    <col min="5633" max="5643" width="9.140625" style="48"/>
    <col min="5644" max="5644" width="12.7109375" style="48" customWidth="1"/>
    <col min="5645" max="5885" width="9.140625" style="48"/>
    <col min="5886" max="5888" width="12.7109375" style="48" customWidth="1"/>
    <col min="5889" max="5899" width="9.140625" style="48"/>
    <col min="5900" max="5900" width="12.7109375" style="48" customWidth="1"/>
    <col min="5901" max="6141" width="9.140625" style="48"/>
    <col min="6142" max="6144" width="12.7109375" style="48" customWidth="1"/>
    <col min="6145" max="6155" width="9.140625" style="48"/>
    <col min="6156" max="6156" width="12.7109375" style="48" customWidth="1"/>
    <col min="6157" max="6397" width="9.140625" style="48"/>
    <col min="6398" max="6400" width="12.7109375" style="48" customWidth="1"/>
    <col min="6401" max="6411" width="9.140625" style="48"/>
    <col min="6412" max="6412" width="12.7109375" style="48" customWidth="1"/>
    <col min="6413" max="6653" width="9.140625" style="48"/>
    <col min="6654" max="6656" width="12.7109375" style="48" customWidth="1"/>
    <col min="6657" max="6667" width="9.140625" style="48"/>
    <col min="6668" max="6668" width="12.7109375" style="48" customWidth="1"/>
    <col min="6669" max="6909" width="9.140625" style="48"/>
    <col min="6910" max="6912" width="12.7109375" style="48" customWidth="1"/>
    <col min="6913" max="6923" width="9.140625" style="48"/>
    <col min="6924" max="6924" width="12.7109375" style="48" customWidth="1"/>
    <col min="6925" max="7165" width="9.140625" style="48"/>
    <col min="7166" max="7168" width="12.7109375" style="48" customWidth="1"/>
    <col min="7169" max="7179" width="9.140625" style="48"/>
    <col min="7180" max="7180" width="12.7109375" style="48" customWidth="1"/>
    <col min="7181" max="7421" width="9.140625" style="48"/>
    <col min="7422" max="7424" width="12.7109375" style="48" customWidth="1"/>
    <col min="7425" max="7435" width="9.140625" style="48"/>
    <col min="7436" max="7436" width="12.7109375" style="48" customWidth="1"/>
    <col min="7437" max="7677" width="9.140625" style="48"/>
    <col min="7678" max="7680" width="12.7109375" style="48" customWidth="1"/>
    <col min="7681" max="7691" width="9.140625" style="48"/>
    <col min="7692" max="7692" width="12.7109375" style="48" customWidth="1"/>
    <col min="7693" max="7933" width="9.140625" style="48"/>
    <col min="7934" max="7936" width="12.7109375" style="48" customWidth="1"/>
    <col min="7937" max="7947" width="9.140625" style="48"/>
    <col min="7948" max="7948" width="12.7109375" style="48" customWidth="1"/>
    <col min="7949" max="8189" width="9.140625" style="48"/>
    <col min="8190" max="8192" width="12.7109375" style="48" customWidth="1"/>
    <col min="8193" max="8203" width="9.140625" style="48"/>
    <col min="8204" max="8204" width="12.7109375" style="48" customWidth="1"/>
    <col min="8205" max="8445" width="9.140625" style="48"/>
    <col min="8446" max="8448" width="12.7109375" style="48" customWidth="1"/>
    <col min="8449" max="8459" width="9.140625" style="48"/>
    <col min="8460" max="8460" width="12.7109375" style="48" customWidth="1"/>
    <col min="8461" max="8701" width="9.140625" style="48"/>
    <col min="8702" max="8704" width="12.7109375" style="48" customWidth="1"/>
    <col min="8705" max="8715" width="9.140625" style="48"/>
    <col min="8716" max="8716" width="12.7109375" style="48" customWidth="1"/>
    <col min="8717" max="8957" width="9.140625" style="48"/>
    <col min="8958" max="8960" width="12.7109375" style="48" customWidth="1"/>
    <col min="8961" max="8971" width="9.140625" style="48"/>
    <col min="8972" max="8972" width="12.7109375" style="48" customWidth="1"/>
    <col min="8973" max="9213" width="9.140625" style="48"/>
    <col min="9214" max="9216" width="12.7109375" style="48" customWidth="1"/>
    <col min="9217" max="9227" width="9.140625" style="48"/>
    <col min="9228" max="9228" width="12.7109375" style="48" customWidth="1"/>
    <col min="9229" max="9469" width="9.140625" style="48"/>
    <col min="9470" max="9472" width="12.7109375" style="48" customWidth="1"/>
    <col min="9473" max="9483" width="9.140625" style="48"/>
    <col min="9484" max="9484" width="12.7109375" style="48" customWidth="1"/>
    <col min="9485" max="9725" width="9.140625" style="48"/>
    <col min="9726" max="9728" width="12.7109375" style="48" customWidth="1"/>
    <col min="9729" max="9739" width="9.140625" style="48"/>
    <col min="9740" max="9740" width="12.7109375" style="48" customWidth="1"/>
    <col min="9741" max="9981" width="9.140625" style="48"/>
    <col min="9982" max="9984" width="12.7109375" style="48" customWidth="1"/>
    <col min="9985" max="9995" width="9.140625" style="48"/>
    <col min="9996" max="9996" width="12.7109375" style="48" customWidth="1"/>
    <col min="9997" max="10237" width="9.140625" style="48"/>
    <col min="10238" max="10240" width="12.7109375" style="48" customWidth="1"/>
    <col min="10241" max="10251" width="9.140625" style="48"/>
    <col min="10252" max="10252" width="12.7109375" style="48" customWidth="1"/>
    <col min="10253" max="10493" width="9.140625" style="48"/>
    <col min="10494" max="10496" width="12.7109375" style="48" customWidth="1"/>
    <col min="10497" max="10507" width="9.140625" style="48"/>
    <col min="10508" max="10508" width="12.7109375" style="48" customWidth="1"/>
    <col min="10509" max="10749" width="9.140625" style="48"/>
    <col min="10750" max="10752" width="12.7109375" style="48" customWidth="1"/>
    <col min="10753" max="10763" width="9.140625" style="48"/>
    <col min="10764" max="10764" width="12.7109375" style="48" customWidth="1"/>
    <col min="10765" max="11005" width="9.140625" style="48"/>
    <col min="11006" max="11008" width="12.7109375" style="48" customWidth="1"/>
    <col min="11009" max="11019" width="9.140625" style="48"/>
    <col min="11020" max="11020" width="12.7109375" style="48" customWidth="1"/>
    <col min="11021" max="11261" width="9.140625" style="48"/>
    <col min="11262" max="11264" width="12.7109375" style="48" customWidth="1"/>
    <col min="11265" max="11275" width="9.140625" style="48"/>
    <col min="11276" max="11276" width="12.7109375" style="48" customWidth="1"/>
    <col min="11277" max="11517" width="9.140625" style="48"/>
    <col min="11518" max="11520" width="12.7109375" style="48" customWidth="1"/>
    <col min="11521" max="11531" width="9.140625" style="48"/>
    <col min="11532" max="11532" width="12.7109375" style="48" customWidth="1"/>
    <col min="11533" max="11773" width="9.140625" style="48"/>
    <col min="11774" max="11776" width="12.7109375" style="48" customWidth="1"/>
    <col min="11777" max="11787" width="9.140625" style="48"/>
    <col min="11788" max="11788" width="12.7109375" style="48" customWidth="1"/>
    <col min="11789" max="12029" width="9.140625" style="48"/>
    <col min="12030" max="12032" width="12.7109375" style="48" customWidth="1"/>
    <col min="12033" max="12043" width="9.140625" style="48"/>
    <col min="12044" max="12044" width="12.7109375" style="48" customWidth="1"/>
    <col min="12045" max="12285" width="9.140625" style="48"/>
    <col min="12286" max="12288" width="12.7109375" style="48" customWidth="1"/>
    <col min="12289" max="12299" width="9.140625" style="48"/>
    <col min="12300" max="12300" width="12.7109375" style="48" customWidth="1"/>
    <col min="12301" max="12541" width="9.140625" style="48"/>
    <col min="12542" max="12544" width="12.7109375" style="48" customWidth="1"/>
    <col min="12545" max="12555" width="9.140625" style="48"/>
    <col min="12556" max="12556" width="12.7109375" style="48" customWidth="1"/>
    <col min="12557" max="12797" width="9.140625" style="48"/>
    <col min="12798" max="12800" width="12.7109375" style="48" customWidth="1"/>
    <col min="12801" max="12811" width="9.140625" style="48"/>
    <col min="12812" max="12812" width="12.7109375" style="48" customWidth="1"/>
    <col min="12813" max="13053" width="9.140625" style="48"/>
    <col min="13054" max="13056" width="12.7109375" style="48" customWidth="1"/>
    <col min="13057" max="13067" width="9.140625" style="48"/>
    <col min="13068" max="13068" width="12.7109375" style="48" customWidth="1"/>
    <col min="13069" max="13309" width="9.140625" style="48"/>
    <col min="13310" max="13312" width="12.7109375" style="48" customWidth="1"/>
    <col min="13313" max="13323" width="9.140625" style="48"/>
    <col min="13324" max="13324" width="12.7109375" style="48" customWidth="1"/>
    <col min="13325" max="13565" width="9.140625" style="48"/>
    <col min="13566" max="13568" width="12.7109375" style="48" customWidth="1"/>
    <col min="13569" max="13579" width="9.140625" style="48"/>
    <col min="13580" max="13580" width="12.7109375" style="48" customWidth="1"/>
    <col min="13581" max="13821" width="9.140625" style="48"/>
    <col min="13822" max="13824" width="12.7109375" style="48" customWidth="1"/>
    <col min="13825" max="13835" width="9.140625" style="48"/>
    <col min="13836" max="13836" width="12.7109375" style="48" customWidth="1"/>
    <col min="13837" max="14077" width="9.140625" style="48"/>
    <col min="14078" max="14080" width="12.7109375" style="48" customWidth="1"/>
    <col min="14081" max="14091" width="9.140625" style="48"/>
    <col min="14092" max="14092" width="12.7109375" style="48" customWidth="1"/>
    <col min="14093" max="14333" width="9.140625" style="48"/>
    <col min="14334" max="14336" width="12.7109375" style="48" customWidth="1"/>
    <col min="14337" max="14347" width="9.140625" style="48"/>
    <col min="14348" max="14348" width="12.7109375" style="48" customWidth="1"/>
    <col min="14349" max="14589" width="9.140625" style="48"/>
    <col min="14590" max="14592" width="12.7109375" style="48" customWidth="1"/>
    <col min="14593" max="14603" width="9.140625" style="48"/>
    <col min="14604" max="14604" width="12.7109375" style="48" customWidth="1"/>
    <col min="14605" max="14845" width="9.140625" style="48"/>
    <col min="14846" max="14848" width="12.7109375" style="48" customWidth="1"/>
    <col min="14849" max="14859" width="9.140625" style="48"/>
    <col min="14860" max="14860" width="12.7109375" style="48" customWidth="1"/>
    <col min="14861" max="15101" width="9.140625" style="48"/>
    <col min="15102" max="15104" width="12.7109375" style="48" customWidth="1"/>
    <col min="15105" max="15115" width="9.140625" style="48"/>
    <col min="15116" max="15116" width="12.7109375" style="48" customWidth="1"/>
    <col min="15117" max="15357" width="9.140625" style="48"/>
    <col min="15358" max="15360" width="12.7109375" style="48" customWidth="1"/>
    <col min="15361" max="15371" width="9.140625" style="48"/>
    <col min="15372" max="15372" width="12.7109375" style="48" customWidth="1"/>
    <col min="15373" max="15613" width="9.140625" style="48"/>
    <col min="15614" max="15616" width="12.7109375" style="48" customWidth="1"/>
    <col min="15617" max="15627" width="9.140625" style="48"/>
    <col min="15628" max="15628" width="12.7109375" style="48" customWidth="1"/>
    <col min="15629" max="15869" width="9.140625" style="48"/>
    <col min="15870" max="15872" width="12.7109375" style="48" customWidth="1"/>
    <col min="15873" max="15883" width="9.140625" style="48"/>
    <col min="15884" max="15884" width="12.7109375" style="48" customWidth="1"/>
    <col min="15885" max="16125" width="9.140625" style="48"/>
    <col min="16126" max="16128" width="12.7109375" style="48" customWidth="1"/>
    <col min="16129" max="16139" width="9.140625" style="48"/>
    <col min="16140" max="16140" width="12.7109375" style="48" customWidth="1"/>
    <col min="16141" max="16384" width="9.140625" style="48"/>
  </cols>
  <sheetData>
    <row r="1" spans="1:12" x14ac:dyDescent="0.25">
      <c r="A1" s="213"/>
      <c r="B1" s="213"/>
      <c r="C1" s="213"/>
      <c r="D1" s="213"/>
      <c r="E1" s="213"/>
      <c r="F1" s="213"/>
      <c r="G1" s="213"/>
      <c r="H1" s="213"/>
      <c r="I1" s="213"/>
      <c r="J1" s="213"/>
      <c r="K1" s="213"/>
      <c r="L1" s="213"/>
    </row>
    <row r="2" spans="1:12" ht="72" customHeight="1" x14ac:dyDescent="0.25">
      <c r="A2" s="214" t="s">
        <v>547</v>
      </c>
      <c r="B2" s="214"/>
      <c r="C2" s="214"/>
      <c r="D2" s="214"/>
      <c r="E2" s="214"/>
      <c r="F2" s="214"/>
      <c r="G2" s="214"/>
      <c r="H2" s="214"/>
      <c r="I2" s="214"/>
      <c r="J2" s="214"/>
      <c r="K2" s="214"/>
      <c r="L2" s="214"/>
    </row>
    <row r="4" spans="1:12" x14ac:dyDescent="0.25">
      <c r="A4" s="99"/>
      <c r="B4" s="100"/>
      <c r="C4" s="100"/>
      <c r="D4" s="100"/>
      <c r="E4" s="100"/>
      <c r="K4" s="99"/>
      <c r="L4" s="100"/>
    </row>
    <row r="5" spans="1:12" x14ac:dyDescent="0.25">
      <c r="A5" s="207" t="s">
        <v>545</v>
      </c>
      <c r="B5" s="208"/>
      <c r="C5" s="208"/>
      <c r="D5" s="208"/>
      <c r="E5" s="208"/>
      <c r="F5" s="208"/>
      <c r="G5" s="208"/>
      <c r="H5" s="209"/>
      <c r="K5" s="215" t="s">
        <v>546</v>
      </c>
      <c r="L5" s="215"/>
    </row>
    <row r="6" spans="1:12" s="50" customFormat="1" x14ac:dyDescent="0.25">
      <c r="A6" s="101"/>
      <c r="B6" s="102"/>
      <c r="C6" s="102"/>
      <c r="D6" s="102"/>
      <c r="E6" s="102"/>
      <c r="F6" s="16"/>
      <c r="G6" s="16"/>
      <c r="H6" s="118"/>
      <c r="K6" s="103"/>
      <c r="L6" s="104"/>
    </row>
    <row r="7" spans="1:12" ht="51.75" x14ac:dyDescent="0.4">
      <c r="A7" s="105" t="s">
        <v>105</v>
      </c>
      <c r="B7" s="121" t="s">
        <v>505</v>
      </c>
      <c r="C7" s="121" t="s">
        <v>506</v>
      </c>
      <c r="D7" s="121" t="s">
        <v>507</v>
      </c>
      <c r="E7" s="121"/>
      <c r="F7" s="121" t="s">
        <v>251</v>
      </c>
      <c r="G7" s="121" t="s">
        <v>489</v>
      </c>
      <c r="H7" s="122" t="s">
        <v>269</v>
      </c>
      <c r="K7" s="105" t="s">
        <v>215</v>
      </c>
      <c r="L7" s="106"/>
    </row>
    <row r="8" spans="1:12" x14ac:dyDescent="0.25">
      <c r="A8" s="107" t="s">
        <v>216</v>
      </c>
      <c r="B8" s="123">
        <f>'Operating Budget v Actual'!G10</f>
        <v>3026954</v>
      </c>
      <c r="C8" s="123">
        <f>'Operating Budget v Actual'!I10</f>
        <v>3143094.22</v>
      </c>
      <c r="D8" s="123">
        <f>C8-B8</f>
        <v>116140.2200000002</v>
      </c>
      <c r="E8" s="123"/>
      <c r="F8" s="123">
        <f>'Operating Budget v Actual'!E10</f>
        <v>4534660</v>
      </c>
      <c r="G8" s="123">
        <f>'Operating Budget v Actual'!Q10</f>
        <v>4801402.2333333334</v>
      </c>
      <c r="H8" s="124">
        <f>G8-F8</f>
        <v>266742.2333333334</v>
      </c>
      <c r="K8" s="107" t="s">
        <v>240</v>
      </c>
      <c r="L8" s="108">
        <f>'Balance Sheet'!C9</f>
        <v>3456781.35</v>
      </c>
    </row>
    <row r="9" spans="1:12" x14ac:dyDescent="0.25">
      <c r="A9" s="107" t="s">
        <v>217</v>
      </c>
      <c r="B9" s="123">
        <f>'Operating Budget v Actual'!G16</f>
        <v>143085</v>
      </c>
      <c r="C9" s="123">
        <f>'Operating Budget v Actual'!I16</f>
        <v>91909.42</v>
      </c>
      <c r="D9" s="123">
        <f t="shared" ref="D9:D11" si="0">C9-B9</f>
        <v>-51175.58</v>
      </c>
      <c r="E9" s="123"/>
      <c r="F9" s="123">
        <f>'Operating Budget v Actual'!E16</f>
        <v>198065</v>
      </c>
      <c r="G9" s="123">
        <f>'Operating Budget v Actual'!Q16</f>
        <v>385702.52</v>
      </c>
      <c r="H9" s="124">
        <f t="shared" ref="H9:H11" si="1">G9-F9</f>
        <v>187637.52000000002</v>
      </c>
      <c r="K9" s="107" t="s">
        <v>242</v>
      </c>
      <c r="L9" s="108">
        <f>'Balance Sheet'!C12</f>
        <v>54799.23</v>
      </c>
    </row>
    <row r="10" spans="1:12" x14ac:dyDescent="0.25">
      <c r="A10" s="107" t="s">
        <v>218</v>
      </c>
      <c r="B10" s="123">
        <f>'Operating Budget v Actual'!G20</f>
        <v>0</v>
      </c>
      <c r="C10" s="123">
        <f>'Operating Budget v Actual'!I20</f>
        <v>180</v>
      </c>
      <c r="D10" s="123">
        <f t="shared" si="0"/>
        <v>180</v>
      </c>
      <c r="E10" s="123"/>
      <c r="F10" s="123">
        <f>'Operating Budget v Actual'!E20</f>
        <v>0</v>
      </c>
      <c r="G10" s="123">
        <f>'Operating Budget v Actual'!Q20</f>
        <v>180</v>
      </c>
      <c r="H10" s="124">
        <f t="shared" si="1"/>
        <v>180</v>
      </c>
      <c r="K10" s="107" t="s">
        <v>260</v>
      </c>
      <c r="L10" s="108">
        <f>'Balance Sheet'!C21</f>
        <v>88511.7</v>
      </c>
    </row>
    <row r="11" spans="1:12" x14ac:dyDescent="0.25">
      <c r="A11" s="107" t="s">
        <v>252</v>
      </c>
      <c r="B11" s="125">
        <f>'Operating Budget v Actual'!G23</f>
        <v>2400</v>
      </c>
      <c r="C11" s="125">
        <f>'Operating Budget v Actual'!I23</f>
        <v>2740.94</v>
      </c>
      <c r="D11" s="123">
        <f t="shared" si="0"/>
        <v>340.94000000000005</v>
      </c>
      <c r="E11" s="123"/>
      <c r="F11" s="123">
        <f>'Operating Budget v Actual'!E23</f>
        <v>3600</v>
      </c>
      <c r="G11" s="123">
        <f>'Operating Budget v Actual'!Q23</f>
        <v>4111.41</v>
      </c>
      <c r="H11" s="124">
        <f t="shared" si="1"/>
        <v>511.40999999999985</v>
      </c>
      <c r="K11" s="107" t="s">
        <v>246</v>
      </c>
      <c r="L11" s="110">
        <f>'Balance Sheet'!C36</f>
        <v>401075.85000000003</v>
      </c>
    </row>
    <row r="12" spans="1:12" ht="15.75" thickBot="1" x14ac:dyDescent="0.3">
      <c r="A12" s="105" t="s">
        <v>219</v>
      </c>
      <c r="B12" s="123">
        <f>SUM(B8:B11)</f>
        <v>3172439</v>
      </c>
      <c r="C12" s="123">
        <f>SUM(C8:C11)</f>
        <v>3237924.58</v>
      </c>
      <c r="D12" s="93">
        <f>SUM(D8:D11)</f>
        <v>65485.580000000205</v>
      </c>
      <c r="E12" s="123"/>
      <c r="F12" s="93">
        <f t="shared" ref="F12:H12" si="2">SUM(F8:F11)</f>
        <v>4736325</v>
      </c>
      <c r="G12" s="93">
        <f t="shared" si="2"/>
        <v>5191396.163333334</v>
      </c>
      <c r="H12" s="126">
        <f t="shared" si="2"/>
        <v>455071.16333333339</v>
      </c>
      <c r="K12" s="105" t="s">
        <v>220</v>
      </c>
      <c r="L12" s="113">
        <f>SUM(L8:L11)</f>
        <v>4001168.1300000004</v>
      </c>
    </row>
    <row r="13" spans="1:12" ht="15.75" thickTop="1" x14ac:dyDescent="0.25">
      <c r="A13" s="107"/>
      <c r="B13" s="123"/>
      <c r="C13" s="123"/>
      <c r="D13" s="123"/>
      <c r="E13" s="123"/>
      <c r="F13" s="123"/>
      <c r="G13" s="123"/>
      <c r="H13" s="124"/>
      <c r="K13" s="107"/>
      <c r="L13" s="108"/>
    </row>
    <row r="14" spans="1:12" x14ac:dyDescent="0.25">
      <c r="A14" s="105" t="s">
        <v>221</v>
      </c>
      <c r="B14" s="123"/>
      <c r="C14" s="123"/>
      <c r="D14" s="123"/>
      <c r="E14" s="123"/>
      <c r="F14" s="123"/>
      <c r="G14" s="123" t="s">
        <v>0</v>
      </c>
      <c r="H14" s="124"/>
      <c r="K14" s="107"/>
      <c r="L14" s="108"/>
    </row>
    <row r="15" spans="1:12" x14ac:dyDescent="0.25">
      <c r="A15" s="107" t="s">
        <v>222</v>
      </c>
      <c r="B15" s="123">
        <f>'Operating Budget v Actual'!G59</f>
        <v>-1931294</v>
      </c>
      <c r="C15" s="123">
        <f>'Operating Budget v Actual'!I59</f>
        <v>-1893253.02</v>
      </c>
      <c r="D15" s="123">
        <f>B15-C15</f>
        <v>-38040.979999999981</v>
      </c>
      <c r="E15" s="123"/>
      <c r="F15" s="123">
        <f>'Operating Budget v Actual'!E59</f>
        <v>-3190029</v>
      </c>
      <c r="G15" s="123">
        <f>'Operating Budget v Actual'!Q59</f>
        <v>-3108551.1750000003</v>
      </c>
      <c r="H15" s="124">
        <f t="shared" ref="H15:H25" si="3">F15-G15</f>
        <v>-81477.824999999721</v>
      </c>
      <c r="K15" s="105" t="s">
        <v>223</v>
      </c>
      <c r="L15" s="108"/>
    </row>
    <row r="16" spans="1:12" x14ac:dyDescent="0.25">
      <c r="A16" s="107" t="s">
        <v>253</v>
      </c>
      <c r="B16" s="123">
        <f>'Operating Budget v Actual'!G78</f>
        <v>-377432</v>
      </c>
      <c r="C16" s="123">
        <f>'Operating Budget v Actual'!I78</f>
        <v>-389703.9</v>
      </c>
      <c r="D16" s="123">
        <f t="shared" ref="D16:D25" si="4">B16-C16</f>
        <v>12271.900000000023</v>
      </c>
      <c r="E16" s="123"/>
      <c r="F16" s="123">
        <f>'Operating Budget v Actual'!E78</f>
        <v>-645885</v>
      </c>
      <c r="G16" s="123">
        <f>'Operating Budget v Actual'!Q78</f>
        <v>-694010.70885749999</v>
      </c>
      <c r="H16" s="124">
        <f t="shared" si="3"/>
        <v>48125.708857499994</v>
      </c>
      <c r="K16" s="107" t="s">
        <v>248</v>
      </c>
      <c r="L16" s="108">
        <f>'Balance Sheet'!C46</f>
        <v>41561.230000000003</v>
      </c>
    </row>
    <row r="17" spans="1:12" x14ac:dyDescent="0.25">
      <c r="A17" s="107" t="s">
        <v>254</v>
      </c>
      <c r="B17" s="123">
        <f>'Operating Budget v Actual'!G96</f>
        <v>-196566</v>
      </c>
      <c r="C17" s="123">
        <f>'Operating Budget v Actual'!I96</f>
        <v>-197224.72</v>
      </c>
      <c r="D17" s="123">
        <f t="shared" si="4"/>
        <v>658.72000000000116</v>
      </c>
      <c r="E17" s="123"/>
      <c r="F17" s="123">
        <f>'Operating Budget v Actual'!E96</f>
        <v>-271450</v>
      </c>
      <c r="G17" s="123">
        <f>'Operating Budget v Actual'!Q96</f>
        <v>-432881.57666666666</v>
      </c>
      <c r="H17" s="124">
        <f t="shared" si="3"/>
        <v>161431.57666666666</v>
      </c>
      <c r="K17" s="107" t="s">
        <v>261</v>
      </c>
      <c r="L17" s="108">
        <f>'Balance Sheet'!C50</f>
        <v>0</v>
      </c>
    </row>
    <row r="18" spans="1:12" x14ac:dyDescent="0.25">
      <c r="A18" s="107" t="s">
        <v>255</v>
      </c>
      <c r="B18" s="123">
        <f>'Operating Budget v Actual'!G107</f>
        <v>-58200</v>
      </c>
      <c r="C18" s="123">
        <f>'Operating Budget v Actual'!I107</f>
        <v>-77741.69</v>
      </c>
      <c r="D18" s="123">
        <f t="shared" si="4"/>
        <v>19541.690000000002</v>
      </c>
      <c r="E18" s="123"/>
      <c r="F18" s="123">
        <f>'Operating Budget v Actual'!E107</f>
        <v>-83500</v>
      </c>
      <c r="G18" s="123">
        <f>'Operating Budget v Actual'!Q107</f>
        <v>-107597.47</v>
      </c>
      <c r="H18" s="124">
        <f t="shared" si="3"/>
        <v>24097.47</v>
      </c>
      <c r="K18" s="107" t="s">
        <v>262</v>
      </c>
      <c r="L18" s="108">
        <f>'Balance Sheet'!C59+'Balance Sheet'!C60</f>
        <v>3038.5</v>
      </c>
    </row>
    <row r="19" spans="1:12" x14ac:dyDescent="0.25">
      <c r="A19" s="107" t="s">
        <v>256</v>
      </c>
      <c r="B19" s="123">
        <f>'Operating Budget v Actual'!G120</f>
        <v>-166975</v>
      </c>
      <c r="C19" s="123">
        <f>'Operating Budget v Actual'!I120</f>
        <v>-209921.14</v>
      </c>
      <c r="D19" s="123">
        <f t="shared" si="4"/>
        <v>42946.140000000014</v>
      </c>
      <c r="E19" s="123"/>
      <c r="F19" s="123">
        <f>'Operating Budget v Actual'!E120</f>
        <v>-273000</v>
      </c>
      <c r="G19" s="123">
        <f>'Operating Budget v Actual'!Q120</f>
        <v>-425000</v>
      </c>
      <c r="H19" s="124">
        <f t="shared" si="3"/>
        <v>152000</v>
      </c>
      <c r="K19" s="107" t="s">
        <v>263</v>
      </c>
      <c r="L19" s="108">
        <f>'Balance Sheet'!C61</f>
        <v>827170.34</v>
      </c>
    </row>
    <row r="20" spans="1:12" x14ac:dyDescent="0.25">
      <c r="A20" s="107" t="s">
        <v>257</v>
      </c>
      <c r="B20" s="123">
        <f>'Operating Budget v Actual'!G123</f>
        <v>-18552</v>
      </c>
      <c r="C20" s="123">
        <f>'Operating Budget v Actual'!I123</f>
        <v>-17756.87</v>
      </c>
      <c r="D20" s="123">
        <f t="shared" si="4"/>
        <v>-795.13000000000102</v>
      </c>
      <c r="E20" s="123"/>
      <c r="F20" s="123">
        <f>'Operating Budget v Actual'!E123</f>
        <v>-27828</v>
      </c>
      <c r="G20" s="123">
        <f>'Operating Budget v Actual'!Q123</f>
        <v>-26635.305</v>
      </c>
      <c r="H20" s="124">
        <f t="shared" si="3"/>
        <v>-1192.6949999999997</v>
      </c>
      <c r="K20" s="107" t="s">
        <v>415</v>
      </c>
      <c r="L20" s="108">
        <f>'Balance Sheet'!C62</f>
        <v>4140</v>
      </c>
    </row>
    <row r="21" spans="1:12" x14ac:dyDescent="0.25">
      <c r="A21" s="107" t="s">
        <v>258</v>
      </c>
      <c r="B21" s="123">
        <f>'Operating Budget v Actual'!G127</f>
        <v>-53336</v>
      </c>
      <c r="C21" s="123">
        <f>'Operating Budget v Actual'!I127</f>
        <v>-43121.79</v>
      </c>
      <c r="D21" s="123">
        <f t="shared" si="4"/>
        <v>-10214.209999999999</v>
      </c>
      <c r="E21" s="123"/>
      <c r="F21" s="123">
        <f>'Operating Budget v Actual'!E127</f>
        <v>-80000</v>
      </c>
      <c r="G21" s="123">
        <f>'Operating Budget v Actual'!Q127</f>
        <v>-105000</v>
      </c>
      <c r="H21" s="124">
        <f t="shared" si="3"/>
        <v>25000</v>
      </c>
      <c r="K21" s="105" t="s">
        <v>224</v>
      </c>
      <c r="L21" s="143">
        <f>SUM(L14:L20)</f>
        <v>875910.07</v>
      </c>
    </row>
    <row r="22" spans="1:12" x14ac:dyDescent="0.25">
      <c r="A22" s="107" t="s">
        <v>259</v>
      </c>
      <c r="B22" s="123">
        <f>'Operating Budget v Actual'!G133</f>
        <v>-33336</v>
      </c>
      <c r="C22" s="123">
        <f>'Operating Budget v Actual'!I133</f>
        <v>-49457.32</v>
      </c>
      <c r="D22" s="123">
        <f t="shared" si="4"/>
        <v>16121.32</v>
      </c>
      <c r="E22" s="123"/>
      <c r="F22" s="123">
        <f>'Operating Budget v Actual'!E133</f>
        <v>-50000</v>
      </c>
      <c r="G22" s="123">
        <f>'Operating Budget v Actual'!Q133</f>
        <v>-70000</v>
      </c>
      <c r="H22" s="124">
        <f t="shared" si="3"/>
        <v>20000</v>
      </c>
      <c r="K22" s="107"/>
      <c r="L22" s="108"/>
    </row>
    <row r="23" spans="1:12" x14ac:dyDescent="0.25">
      <c r="A23" s="107" t="s">
        <v>226</v>
      </c>
      <c r="B23" s="123">
        <f>'Operating Budget v Actual'!G139</f>
        <v>-3336</v>
      </c>
      <c r="C23" s="123">
        <f>'Operating Budget v Actual'!I139</f>
        <v>-22685.8</v>
      </c>
      <c r="D23" s="123">
        <f t="shared" si="4"/>
        <v>19349.8</v>
      </c>
      <c r="E23" s="123"/>
      <c r="F23" s="123">
        <f>'Operating Budget v Actual'!E139</f>
        <v>-5000</v>
      </c>
      <c r="G23" s="123">
        <f>'Operating Budget v Actual'!Q139</f>
        <v>-26543.32</v>
      </c>
      <c r="H23" s="124">
        <f t="shared" si="3"/>
        <v>21543.32</v>
      </c>
      <c r="K23" s="105" t="s">
        <v>225</v>
      </c>
      <c r="L23" s="108">
        <f>'Balance Sheet'!C69</f>
        <v>3125258.06</v>
      </c>
    </row>
    <row r="24" spans="1:12" ht="15.75" thickBot="1" x14ac:dyDescent="0.3">
      <c r="A24" s="107" t="s">
        <v>228</v>
      </c>
      <c r="B24" s="123">
        <f>'Operating Budget v Actual'!G141+'Operating Budget v Actual'!G143</f>
        <v>-200</v>
      </c>
      <c r="C24" s="123">
        <f>'Operating Budget v Actual'!I141+'Operating Budget v Actual'!I142</f>
        <v>-944.94999999999993</v>
      </c>
      <c r="D24" s="123">
        <f t="shared" si="4"/>
        <v>744.94999999999993</v>
      </c>
      <c r="E24" s="123"/>
      <c r="F24" s="123">
        <f>'Operating Budget v Actual'!E141+'Operating Budget v Actual'!E143</f>
        <v>-89206</v>
      </c>
      <c r="G24" s="123">
        <f>'Operating Budget v Actual'!Q141+'Operating Budget v Actual'!Q143+'Operating Budget v Actual'!Q142</f>
        <v>-178626.33666666664</v>
      </c>
      <c r="H24" s="124">
        <f t="shared" si="3"/>
        <v>89420.336666666641</v>
      </c>
      <c r="K24" s="105" t="s">
        <v>227</v>
      </c>
      <c r="L24" s="144">
        <f>L21+L23</f>
        <v>4001168.13</v>
      </c>
    </row>
    <row r="25" spans="1:12" ht="15.75" thickTop="1" x14ac:dyDescent="0.25">
      <c r="A25" s="107" t="s">
        <v>103</v>
      </c>
      <c r="B25" s="125">
        <f>'Operating Budget v Actual'!G144</f>
        <v>-157200</v>
      </c>
      <c r="C25" s="125">
        <f>'Operating Budget v Actual'!I144</f>
        <v>0</v>
      </c>
      <c r="D25" s="123">
        <f t="shared" si="4"/>
        <v>-157200</v>
      </c>
      <c r="E25" s="123"/>
      <c r="F25" s="123">
        <f>'Operating Budget v Actual'!E144</f>
        <v>-235795</v>
      </c>
      <c r="G25" s="123">
        <f>'Operating Budget v Actual'!Q144</f>
        <v>0</v>
      </c>
      <c r="H25" s="129">
        <f t="shared" si="3"/>
        <v>-235795</v>
      </c>
      <c r="K25" s="107"/>
      <c r="L25" s="108"/>
    </row>
    <row r="26" spans="1:12" x14ac:dyDescent="0.25">
      <c r="A26" s="105" t="s">
        <v>229</v>
      </c>
      <c r="B26" s="123">
        <f>SUM(B15:B25)</f>
        <v>-2996427</v>
      </c>
      <c r="C26" s="123">
        <f>SUM(C15:C25)</f>
        <v>-2901811.2000000002</v>
      </c>
      <c r="D26" s="93">
        <f>SUM(D15:D25)</f>
        <v>-94615.799999999945</v>
      </c>
      <c r="E26" s="123"/>
      <c r="F26" s="93">
        <f>SUM(F15:F25)</f>
        <v>-4951693</v>
      </c>
      <c r="G26" s="93">
        <f>SUM(G15:G25)</f>
        <v>-5174845.8921908336</v>
      </c>
      <c r="H26" s="126">
        <f>SUM(H15:H25)</f>
        <v>223152.89219083358</v>
      </c>
      <c r="I26" s="112"/>
      <c r="J26" s="112"/>
      <c r="K26" s="105"/>
      <c r="L26" s="108"/>
    </row>
    <row r="27" spans="1:12" x14ac:dyDescent="0.25">
      <c r="A27" s="107"/>
      <c r="B27" s="123"/>
      <c r="C27" s="123"/>
      <c r="D27" s="123"/>
      <c r="E27" s="123"/>
      <c r="F27" s="123"/>
      <c r="G27" s="123"/>
      <c r="H27" s="124"/>
      <c r="K27" s="107"/>
      <c r="L27" s="108"/>
    </row>
    <row r="28" spans="1:12" ht="15.75" thickBot="1" x14ac:dyDescent="0.3">
      <c r="A28" s="105" t="s">
        <v>136</v>
      </c>
      <c r="B28" s="127">
        <f>B12+B26</f>
        <v>176012</v>
      </c>
      <c r="C28" s="127">
        <f>C12+C26</f>
        <v>336113.37999999989</v>
      </c>
      <c r="D28" s="127">
        <f>D12-D26</f>
        <v>160101.38000000015</v>
      </c>
      <c r="E28" s="123"/>
      <c r="F28" s="127">
        <f>F12+F26</f>
        <v>-215368</v>
      </c>
      <c r="G28" s="127">
        <f>G12+G26</f>
        <v>16550.271142500453</v>
      </c>
      <c r="H28" s="128">
        <f>H12-H26</f>
        <v>231918.27114249981</v>
      </c>
      <c r="K28" s="107"/>
      <c r="L28" s="108"/>
    </row>
    <row r="29" spans="1:12" ht="15.75" thickTop="1" x14ac:dyDescent="0.25">
      <c r="A29" s="115"/>
      <c r="B29" s="109"/>
      <c r="C29" s="109"/>
      <c r="D29" s="120"/>
      <c r="E29" s="109"/>
      <c r="F29" s="114"/>
      <c r="G29" s="114"/>
      <c r="H29" s="119"/>
      <c r="K29" s="115"/>
      <c r="L29" s="110"/>
    </row>
    <row r="30" spans="1:12" x14ac:dyDescent="0.25">
      <c r="I30" s="48" t="s">
        <v>0</v>
      </c>
    </row>
    <row r="31" spans="1:12" x14ac:dyDescent="0.25">
      <c r="C31" s="111" t="s">
        <v>0</v>
      </c>
    </row>
    <row r="32" spans="1:12" hidden="1" x14ac:dyDescent="0.25">
      <c r="A32" s="216" t="s">
        <v>467</v>
      </c>
      <c r="B32" s="216"/>
      <c r="C32" s="216"/>
      <c r="D32" s="216"/>
      <c r="E32" s="216"/>
      <c r="F32" s="216"/>
      <c r="G32" s="216"/>
      <c r="H32" s="216"/>
      <c r="I32" s="216"/>
      <c r="J32" s="216"/>
      <c r="K32" s="216"/>
      <c r="L32" s="216"/>
    </row>
    <row r="33" spans="1:15" ht="50.25" hidden="1" customHeight="1" x14ac:dyDescent="0.25">
      <c r="A33" s="217" t="s">
        <v>468</v>
      </c>
      <c r="B33" s="218"/>
      <c r="C33" s="218"/>
      <c r="D33" s="218"/>
      <c r="E33" s="218"/>
      <c r="F33" s="218"/>
      <c r="G33" s="218"/>
      <c r="H33" s="218"/>
      <c r="I33" s="218"/>
      <c r="J33" s="218"/>
      <c r="K33" s="218"/>
      <c r="L33" s="219"/>
    </row>
    <row r="34" spans="1:15" hidden="1" x14ac:dyDescent="0.25">
      <c r="A34" s="220" t="s">
        <v>230</v>
      </c>
      <c r="B34" s="220"/>
      <c r="C34" s="220"/>
      <c r="D34" s="220"/>
      <c r="E34" s="220"/>
      <c r="F34" s="220"/>
      <c r="G34" s="220"/>
      <c r="H34" s="220"/>
      <c r="I34" s="220"/>
      <c r="J34" s="220"/>
      <c r="K34" s="220"/>
      <c r="L34" s="220"/>
    </row>
    <row r="35" spans="1:15" ht="31.5" hidden="1" customHeight="1" x14ac:dyDescent="0.25">
      <c r="A35" s="116" t="s">
        <v>250</v>
      </c>
      <c r="B35" s="210" t="s">
        <v>469</v>
      </c>
      <c r="C35" s="210"/>
      <c r="D35" s="210"/>
      <c r="E35" s="210"/>
      <c r="F35" s="210"/>
      <c r="G35" s="210"/>
      <c r="H35" s="210"/>
      <c r="I35" s="210"/>
      <c r="J35" s="210"/>
      <c r="K35" s="210"/>
      <c r="L35" s="210"/>
    </row>
    <row r="36" spans="1:15" ht="32.25" hidden="1" customHeight="1" x14ac:dyDescent="0.25">
      <c r="A36" s="117" t="s">
        <v>231</v>
      </c>
      <c r="B36" s="210" t="s">
        <v>488</v>
      </c>
      <c r="C36" s="210"/>
      <c r="D36" s="210"/>
      <c r="E36" s="210"/>
      <c r="F36" s="210"/>
      <c r="G36" s="210"/>
      <c r="H36" s="210"/>
      <c r="I36" s="210"/>
      <c r="J36" s="210"/>
      <c r="K36" s="210"/>
      <c r="L36" s="210"/>
    </row>
    <row r="37" spans="1:15" ht="22.5" hidden="1" customHeight="1" x14ac:dyDescent="0.25">
      <c r="A37" s="117" t="s">
        <v>232</v>
      </c>
      <c r="B37" s="210" t="s">
        <v>264</v>
      </c>
      <c r="C37" s="210"/>
      <c r="D37" s="210"/>
      <c r="E37" s="210"/>
      <c r="F37" s="210"/>
      <c r="G37" s="210"/>
      <c r="H37" s="210"/>
      <c r="I37" s="210"/>
      <c r="J37" s="210"/>
      <c r="K37" s="210"/>
      <c r="L37" s="210"/>
    </row>
    <row r="38" spans="1:15" ht="24.75" hidden="1" customHeight="1" x14ac:dyDescent="0.25">
      <c r="A38" s="117" t="s">
        <v>233</v>
      </c>
      <c r="B38" s="210" t="s">
        <v>470</v>
      </c>
      <c r="C38" s="210"/>
      <c r="D38" s="210"/>
      <c r="E38" s="210"/>
      <c r="F38" s="210"/>
      <c r="G38" s="210"/>
      <c r="H38" s="210"/>
      <c r="I38" s="210"/>
      <c r="J38" s="210"/>
      <c r="K38" s="210"/>
      <c r="L38" s="210"/>
    </row>
    <row r="39" spans="1:15" hidden="1" x14ac:dyDescent="0.25">
      <c r="A39" s="212" t="s">
        <v>234</v>
      </c>
      <c r="B39" s="212"/>
      <c r="C39" s="212"/>
      <c r="D39" s="212"/>
      <c r="E39" s="212"/>
      <c r="F39" s="212"/>
      <c r="G39" s="212"/>
      <c r="H39" s="212"/>
      <c r="I39" s="212"/>
      <c r="J39" s="212"/>
      <c r="K39" s="212"/>
      <c r="L39" s="212"/>
    </row>
    <row r="40" spans="1:15" ht="25.5" hidden="1" customHeight="1" x14ac:dyDescent="0.25">
      <c r="A40" s="117" t="s">
        <v>235</v>
      </c>
      <c r="B40" s="210" t="s">
        <v>478</v>
      </c>
      <c r="C40" s="210"/>
      <c r="D40" s="210"/>
      <c r="E40" s="210"/>
      <c r="F40" s="210"/>
      <c r="G40" s="210"/>
      <c r="H40" s="210"/>
      <c r="I40" s="210"/>
      <c r="J40" s="210"/>
      <c r="K40" s="210"/>
      <c r="L40" s="210"/>
    </row>
    <row r="41" spans="1:15" ht="25.5" hidden="1" customHeight="1" x14ac:dyDescent="0.25">
      <c r="A41" s="117" t="s">
        <v>236</v>
      </c>
      <c r="B41" s="210" t="s">
        <v>477</v>
      </c>
      <c r="C41" s="210"/>
      <c r="D41" s="210"/>
      <c r="E41" s="210"/>
      <c r="F41" s="210"/>
      <c r="G41" s="210"/>
      <c r="H41" s="210"/>
      <c r="I41" s="210"/>
      <c r="J41" s="210"/>
      <c r="K41" s="210"/>
      <c r="L41" s="210"/>
    </row>
    <row r="42" spans="1:15" ht="29.25" hidden="1" customHeight="1" x14ac:dyDescent="0.25">
      <c r="A42" s="117" t="s">
        <v>265</v>
      </c>
      <c r="B42" s="210" t="s">
        <v>476</v>
      </c>
      <c r="C42" s="210"/>
      <c r="D42" s="210"/>
      <c r="E42" s="210"/>
      <c r="F42" s="210"/>
      <c r="G42" s="210"/>
      <c r="H42" s="210"/>
      <c r="I42" s="210"/>
      <c r="J42" s="210"/>
      <c r="K42" s="210"/>
      <c r="L42" s="210"/>
    </row>
    <row r="43" spans="1:15" ht="33.75" hidden="1" customHeight="1" x14ac:dyDescent="0.25">
      <c r="A43" s="117" t="s">
        <v>266</v>
      </c>
      <c r="B43" s="210" t="s">
        <v>475</v>
      </c>
      <c r="C43" s="210"/>
      <c r="D43" s="210"/>
      <c r="E43" s="210"/>
      <c r="F43" s="210"/>
      <c r="G43" s="210"/>
      <c r="H43" s="210"/>
      <c r="I43" s="210"/>
      <c r="J43" s="210"/>
      <c r="K43" s="210"/>
      <c r="L43" s="210"/>
    </row>
    <row r="44" spans="1:15" ht="32.25" hidden="1" customHeight="1" x14ac:dyDescent="0.25">
      <c r="A44" s="117" t="s">
        <v>237</v>
      </c>
      <c r="B44" s="210" t="s">
        <v>474</v>
      </c>
      <c r="C44" s="210"/>
      <c r="D44" s="210"/>
      <c r="E44" s="210"/>
      <c r="F44" s="210"/>
      <c r="G44" s="210"/>
      <c r="H44" s="210"/>
      <c r="I44" s="210"/>
      <c r="J44" s="210"/>
      <c r="K44" s="210"/>
      <c r="L44" s="210"/>
    </row>
    <row r="45" spans="1:15" ht="25.5" hidden="1" customHeight="1" x14ac:dyDescent="0.25">
      <c r="A45" s="117" t="s">
        <v>267</v>
      </c>
      <c r="B45" s="210" t="s">
        <v>482</v>
      </c>
      <c r="C45" s="210"/>
      <c r="D45" s="210"/>
      <c r="E45" s="210"/>
      <c r="F45" s="210"/>
      <c r="G45" s="210"/>
      <c r="H45" s="210"/>
      <c r="I45" s="210"/>
      <c r="J45" s="210"/>
      <c r="K45" s="210"/>
      <c r="L45" s="210"/>
    </row>
    <row r="46" spans="1:15" ht="25.5" hidden="1" customHeight="1" x14ac:dyDescent="0.25">
      <c r="A46" s="117" t="s">
        <v>238</v>
      </c>
      <c r="B46" s="210" t="s">
        <v>473</v>
      </c>
      <c r="C46" s="210"/>
      <c r="D46" s="210"/>
      <c r="E46" s="210"/>
      <c r="F46" s="210"/>
      <c r="G46" s="210"/>
      <c r="H46" s="210"/>
      <c r="I46" s="210"/>
      <c r="J46" s="210"/>
      <c r="K46" s="210"/>
      <c r="L46" s="210"/>
    </row>
    <row r="47" spans="1:15" ht="25.5" hidden="1" customHeight="1" x14ac:dyDescent="0.25">
      <c r="A47" s="117" t="s">
        <v>268</v>
      </c>
      <c r="B47" s="210" t="s">
        <v>472</v>
      </c>
      <c r="C47" s="210"/>
      <c r="D47" s="210"/>
      <c r="E47" s="210"/>
      <c r="F47" s="210"/>
      <c r="G47" s="210"/>
      <c r="H47" s="210"/>
      <c r="I47" s="210"/>
      <c r="J47" s="210"/>
      <c r="K47" s="210"/>
      <c r="L47" s="210"/>
      <c r="O47" s="48" t="s">
        <v>0</v>
      </c>
    </row>
    <row r="48" spans="1:15" ht="25.5" hidden="1" customHeight="1" x14ac:dyDescent="0.25">
      <c r="A48" s="117" t="s">
        <v>239</v>
      </c>
      <c r="B48" s="210" t="s">
        <v>471</v>
      </c>
      <c r="C48" s="210"/>
      <c r="D48" s="210"/>
      <c r="E48" s="210"/>
      <c r="F48" s="210"/>
      <c r="G48" s="210"/>
      <c r="H48" s="210"/>
      <c r="I48" s="210"/>
      <c r="J48" s="210"/>
      <c r="K48" s="210"/>
      <c r="L48" s="210"/>
      <c r="O48" s="48" t="s">
        <v>0</v>
      </c>
    </row>
    <row r="49" spans="1:12" ht="25.5" hidden="1" customHeight="1" x14ac:dyDescent="0.25">
      <c r="A49" s="117" t="s">
        <v>480</v>
      </c>
      <c r="B49" s="210" t="s">
        <v>481</v>
      </c>
      <c r="C49" s="210"/>
      <c r="D49" s="210"/>
      <c r="E49" s="210"/>
      <c r="F49" s="210"/>
      <c r="G49" s="210"/>
      <c r="H49" s="210"/>
      <c r="I49" s="210"/>
      <c r="J49" s="210"/>
      <c r="K49" s="210"/>
      <c r="L49" s="210"/>
    </row>
    <row r="50" spans="1:12" ht="25.5" hidden="1" customHeight="1" x14ac:dyDescent="0.25">
      <c r="A50" s="117" t="s">
        <v>103</v>
      </c>
      <c r="B50" s="210" t="s">
        <v>479</v>
      </c>
      <c r="C50" s="210"/>
      <c r="D50" s="210"/>
      <c r="E50" s="210"/>
      <c r="F50" s="210"/>
      <c r="G50" s="210"/>
      <c r="H50" s="210"/>
      <c r="I50" s="210"/>
      <c r="J50" s="210"/>
      <c r="K50" s="210"/>
      <c r="L50" s="210"/>
    </row>
    <row r="51" spans="1:12" hidden="1" x14ac:dyDescent="0.25"/>
    <row r="52" spans="1:12" hidden="1" x14ac:dyDescent="0.25"/>
    <row r="53" spans="1:12" hidden="1" x14ac:dyDescent="0.25">
      <c r="A53" s="211" t="s">
        <v>483</v>
      </c>
      <c r="B53" s="211"/>
      <c r="C53" s="211"/>
      <c r="D53" s="211"/>
      <c r="E53" s="211"/>
      <c r="F53" s="211"/>
      <c r="G53" s="211"/>
      <c r="H53" s="211"/>
      <c r="I53" s="211"/>
      <c r="J53" s="211"/>
      <c r="K53" s="211"/>
      <c r="L53" s="211"/>
    </row>
    <row r="54" spans="1:12" ht="33.75" hidden="1" customHeight="1" x14ac:dyDescent="0.25">
      <c r="A54" s="117" t="s">
        <v>240</v>
      </c>
      <c r="B54" s="206" t="s">
        <v>241</v>
      </c>
      <c r="C54" s="206"/>
      <c r="D54" s="206"/>
      <c r="E54" s="206"/>
      <c r="F54" s="206"/>
      <c r="G54" s="206"/>
      <c r="H54" s="206"/>
      <c r="I54" s="206"/>
      <c r="J54" s="206"/>
      <c r="K54" s="206"/>
      <c r="L54" s="206"/>
    </row>
    <row r="55" spans="1:12" ht="36" hidden="1" customHeight="1" x14ac:dyDescent="0.25">
      <c r="A55" s="117" t="s">
        <v>242</v>
      </c>
      <c r="B55" s="206" t="s">
        <v>243</v>
      </c>
      <c r="C55" s="206"/>
      <c r="D55" s="206"/>
      <c r="E55" s="206"/>
      <c r="F55" s="206"/>
      <c r="G55" s="206"/>
      <c r="H55" s="206"/>
      <c r="I55" s="206"/>
      <c r="J55" s="206"/>
      <c r="K55" s="206"/>
      <c r="L55" s="206"/>
    </row>
    <row r="56" spans="1:12" ht="31.5" hidden="1" customHeight="1" x14ac:dyDescent="0.25">
      <c r="A56" s="117" t="s">
        <v>244</v>
      </c>
      <c r="B56" s="206" t="s">
        <v>245</v>
      </c>
      <c r="C56" s="206"/>
      <c r="D56" s="206"/>
      <c r="E56" s="206"/>
      <c r="F56" s="206"/>
      <c r="G56" s="206"/>
      <c r="H56" s="206"/>
      <c r="I56" s="206"/>
      <c r="J56" s="206"/>
      <c r="K56" s="206"/>
      <c r="L56" s="206"/>
    </row>
    <row r="57" spans="1:12" ht="30" hidden="1" customHeight="1" x14ac:dyDescent="0.25">
      <c r="A57" s="117" t="s">
        <v>246</v>
      </c>
      <c r="B57" s="206" t="s">
        <v>247</v>
      </c>
      <c r="C57" s="206"/>
      <c r="D57" s="206"/>
      <c r="E57" s="206"/>
      <c r="F57" s="206"/>
      <c r="G57" s="206"/>
      <c r="H57" s="206"/>
      <c r="I57" s="206"/>
      <c r="J57" s="206"/>
      <c r="K57" s="206"/>
      <c r="L57" s="206"/>
    </row>
    <row r="58" spans="1:12" ht="20.25" hidden="1" customHeight="1" x14ac:dyDescent="0.25">
      <c r="A58" s="117" t="s">
        <v>248</v>
      </c>
      <c r="B58" s="206" t="s">
        <v>484</v>
      </c>
      <c r="C58" s="206"/>
      <c r="D58" s="206"/>
      <c r="E58" s="206"/>
      <c r="F58" s="206"/>
      <c r="G58" s="206"/>
      <c r="H58" s="206"/>
      <c r="I58" s="206"/>
      <c r="J58" s="206"/>
      <c r="K58" s="206"/>
      <c r="L58" s="206"/>
    </row>
    <row r="59" spans="1:12" ht="20.25" hidden="1" customHeight="1" x14ac:dyDescent="0.25">
      <c r="A59" s="117" t="s">
        <v>261</v>
      </c>
      <c r="B59" s="206" t="s">
        <v>485</v>
      </c>
      <c r="C59" s="206"/>
      <c r="D59" s="206"/>
      <c r="E59" s="206"/>
      <c r="F59" s="206"/>
      <c r="G59" s="206"/>
      <c r="H59" s="206"/>
      <c r="I59" s="206"/>
      <c r="J59" s="206"/>
      <c r="K59" s="206"/>
      <c r="L59" s="206"/>
    </row>
    <row r="60" spans="1:12" ht="20.25" hidden="1" customHeight="1" x14ac:dyDescent="0.25">
      <c r="A60" s="117" t="s">
        <v>262</v>
      </c>
      <c r="B60" s="206" t="s">
        <v>487</v>
      </c>
      <c r="C60" s="206"/>
      <c r="D60" s="206"/>
      <c r="E60" s="206"/>
      <c r="F60" s="206"/>
      <c r="G60" s="206"/>
      <c r="H60" s="206"/>
      <c r="I60" s="206"/>
      <c r="J60" s="206"/>
      <c r="K60" s="206"/>
      <c r="L60" s="206"/>
    </row>
    <row r="61" spans="1:12" ht="33" hidden="1" customHeight="1" x14ac:dyDescent="0.25">
      <c r="A61" s="117" t="s">
        <v>249</v>
      </c>
      <c r="B61" s="206" t="s">
        <v>486</v>
      </c>
      <c r="C61" s="206"/>
      <c r="D61" s="206"/>
      <c r="E61" s="206"/>
      <c r="F61" s="206"/>
      <c r="G61" s="206"/>
      <c r="H61" s="206"/>
      <c r="I61" s="206"/>
      <c r="J61" s="206"/>
      <c r="K61" s="206"/>
      <c r="L61" s="206"/>
    </row>
  </sheetData>
  <mergeCells count="32">
    <mergeCell ref="A39:L39"/>
    <mergeCell ref="A1:L1"/>
    <mergeCell ref="A2:L2"/>
    <mergeCell ref="K5:L5"/>
    <mergeCell ref="A32:L32"/>
    <mergeCell ref="A33:L33"/>
    <mergeCell ref="A34:L34"/>
    <mergeCell ref="B35:L35"/>
    <mergeCell ref="B36:L36"/>
    <mergeCell ref="B37:L37"/>
    <mergeCell ref="B38:L38"/>
    <mergeCell ref="B41:L41"/>
    <mergeCell ref="B42:L42"/>
    <mergeCell ref="B43:L43"/>
    <mergeCell ref="B44:L44"/>
    <mergeCell ref="B45:L45"/>
    <mergeCell ref="B61:L61"/>
    <mergeCell ref="A5:H5"/>
    <mergeCell ref="B59:L59"/>
    <mergeCell ref="B54:L54"/>
    <mergeCell ref="B55:L55"/>
    <mergeCell ref="B56:L56"/>
    <mergeCell ref="B57:L57"/>
    <mergeCell ref="B58:L58"/>
    <mergeCell ref="B60:L60"/>
    <mergeCell ref="B46:L46"/>
    <mergeCell ref="B47:L47"/>
    <mergeCell ref="B48:L48"/>
    <mergeCell ref="B49:L49"/>
    <mergeCell ref="B50:L50"/>
    <mergeCell ref="A53:L53"/>
    <mergeCell ref="B40:L40"/>
  </mergeCells>
  <pageMargins left="0.25" right="0.25" top="0.75" bottom="0.75" header="0.3" footer="0.3"/>
  <pageSetup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W58"/>
  <sheetViews>
    <sheetView topLeftCell="A18" zoomScale="80" zoomScaleNormal="80" workbookViewId="0">
      <selection activeCell="U32" sqref="U32"/>
    </sheetView>
  </sheetViews>
  <sheetFormatPr defaultRowHeight="15" x14ac:dyDescent="0.25"/>
  <cols>
    <col min="1" max="1" width="1.7109375" style="132" customWidth="1"/>
    <col min="2" max="2" width="37.140625" style="132" bestFit="1" customWidth="1"/>
    <col min="3" max="3" width="11.5703125" style="132" bestFit="1" customWidth="1"/>
    <col min="4" max="4" width="0.7109375" style="132" customWidth="1"/>
    <col min="5" max="6" width="11.85546875" style="132" bestFit="1" customWidth="1"/>
    <col min="7" max="7" width="0.7109375" style="132" customWidth="1"/>
    <col min="8" max="9" width="11.85546875" style="132" bestFit="1" customWidth="1"/>
    <col min="10" max="10" width="0.7109375" style="132" customWidth="1"/>
    <col min="11" max="12" width="11.85546875" style="132" bestFit="1" customWidth="1"/>
    <col min="13" max="13" width="0.7109375" style="132" customWidth="1"/>
    <col min="14" max="15" width="11.85546875" style="132" bestFit="1" customWidth="1"/>
    <col min="16" max="16" width="0.7109375" style="132" customWidth="1"/>
    <col min="17" max="18" width="11.85546875" style="132" bestFit="1" customWidth="1"/>
    <col min="19" max="19" width="0.7109375" style="132" customWidth="1"/>
    <col min="20" max="20" width="10.85546875" style="132" customWidth="1"/>
    <col min="21" max="21" width="11.42578125" style="132" customWidth="1"/>
    <col min="22" max="22" width="1" style="132" customWidth="1"/>
    <col min="23" max="24" width="11.85546875" style="132" bestFit="1" customWidth="1"/>
    <col min="25" max="16384" width="9.140625" style="132"/>
  </cols>
  <sheetData>
    <row r="3" spans="2:6" x14ac:dyDescent="0.25">
      <c r="B3" s="152"/>
      <c r="C3" s="152"/>
      <c r="D3" s="152"/>
      <c r="E3" s="152"/>
      <c r="F3" s="152"/>
    </row>
    <row r="4" spans="2:6" x14ac:dyDescent="0.25">
      <c r="B4" s="152"/>
      <c r="C4" s="152"/>
      <c r="D4" s="152"/>
      <c r="E4" s="152"/>
      <c r="F4" s="152"/>
    </row>
    <row r="5" spans="2:6" x14ac:dyDescent="0.25">
      <c r="B5" s="152"/>
      <c r="C5" s="152"/>
      <c r="D5" s="152"/>
      <c r="E5" s="152"/>
      <c r="F5" s="152"/>
    </row>
    <row r="6" spans="2:6" x14ac:dyDescent="0.25">
      <c r="B6" s="152"/>
      <c r="C6" s="152"/>
      <c r="D6" s="152"/>
      <c r="E6" s="152"/>
      <c r="F6" s="152"/>
    </row>
    <row r="7" spans="2:6" x14ac:dyDescent="0.25">
      <c r="B7" s="152"/>
      <c r="C7" s="152"/>
      <c r="D7" s="152"/>
      <c r="E7" s="152"/>
      <c r="F7" s="152"/>
    </row>
    <row r="8" spans="2:6" x14ac:dyDescent="0.25">
      <c r="B8" s="152"/>
      <c r="C8" s="152"/>
      <c r="D8" s="152"/>
      <c r="E8" s="152"/>
      <c r="F8" s="152"/>
    </row>
    <row r="9" spans="2:6" x14ac:dyDescent="0.25">
      <c r="B9" s="152"/>
      <c r="C9" s="152"/>
      <c r="D9" s="152"/>
      <c r="E9" s="152"/>
      <c r="F9" s="152"/>
    </row>
    <row r="10" spans="2:6" x14ac:dyDescent="0.25">
      <c r="B10" s="152"/>
      <c r="C10" s="152"/>
      <c r="D10" s="152"/>
      <c r="E10" s="152"/>
      <c r="F10" s="152"/>
    </row>
    <row r="11" spans="2:6" x14ac:dyDescent="0.25">
      <c r="B11" s="152"/>
      <c r="C11" s="152"/>
      <c r="D11" s="152"/>
      <c r="E11" s="152"/>
      <c r="F11" s="152"/>
    </row>
    <row r="12" spans="2:6" x14ac:dyDescent="0.25">
      <c r="B12" s="152"/>
      <c r="C12" s="152"/>
      <c r="D12" s="152"/>
      <c r="E12" s="152"/>
      <c r="F12" s="152"/>
    </row>
    <row r="13" spans="2:6" x14ac:dyDescent="0.25">
      <c r="B13" s="152"/>
      <c r="C13" s="152"/>
      <c r="D13" s="152"/>
      <c r="E13" s="152"/>
      <c r="F13" s="152"/>
    </row>
    <row r="14" spans="2:6" x14ac:dyDescent="0.25">
      <c r="B14" s="152"/>
      <c r="C14" s="152"/>
      <c r="D14" s="152"/>
      <c r="E14" s="152"/>
      <c r="F14" s="152"/>
    </row>
    <row r="15" spans="2:6" x14ac:dyDescent="0.25">
      <c r="B15" s="152"/>
      <c r="C15" s="152"/>
      <c r="D15" s="152"/>
      <c r="E15" s="152"/>
      <c r="F15" s="152"/>
    </row>
    <row r="16" spans="2:6" x14ac:dyDescent="0.25">
      <c r="B16" s="152"/>
      <c r="C16" s="152"/>
      <c r="D16" s="152"/>
      <c r="E16" s="152"/>
      <c r="F16" s="152"/>
    </row>
    <row r="17" spans="2:23" ht="12.75" customHeight="1" x14ac:dyDescent="0.25">
      <c r="B17" s="152"/>
      <c r="C17" s="152"/>
      <c r="D17" s="152"/>
      <c r="E17" s="152"/>
      <c r="F17" s="152"/>
    </row>
    <row r="18" spans="2:23" ht="12.75" customHeight="1" x14ac:dyDescent="0.25">
      <c r="B18" s="152"/>
      <c r="C18" s="152"/>
      <c r="D18" s="152"/>
      <c r="E18" s="152"/>
      <c r="F18" s="152"/>
    </row>
    <row r="19" spans="2:23" ht="12.75" customHeight="1" x14ac:dyDescent="0.25">
      <c r="B19" s="152"/>
      <c r="C19" s="152"/>
      <c r="D19" s="152"/>
      <c r="E19" s="152"/>
      <c r="F19" s="152"/>
    </row>
    <row r="20" spans="2:23" ht="12.75" customHeight="1" x14ac:dyDescent="0.25">
      <c r="B20" s="152"/>
      <c r="C20" s="152"/>
      <c r="D20" s="152"/>
      <c r="E20" s="152"/>
      <c r="F20" s="152"/>
    </row>
    <row r="21" spans="2:23" ht="12.75" customHeight="1" x14ac:dyDescent="0.25">
      <c r="B21" s="152"/>
      <c r="C21" s="152"/>
      <c r="D21" s="152"/>
      <c r="E21" s="152"/>
      <c r="F21" s="152"/>
    </row>
    <row r="22" spans="2:23" x14ac:dyDescent="0.25">
      <c r="B22" s="225" t="s">
        <v>508</v>
      </c>
      <c r="C22" s="226"/>
      <c r="D22" s="153"/>
      <c r="E22" s="223">
        <v>41182</v>
      </c>
      <c r="F22" s="224"/>
      <c r="H22" s="223">
        <v>41213</v>
      </c>
      <c r="I22" s="224"/>
      <c r="K22" s="223">
        <v>41243</v>
      </c>
      <c r="L22" s="224"/>
      <c r="N22" s="223">
        <v>41274</v>
      </c>
      <c r="O22" s="224"/>
      <c r="Q22" s="223">
        <v>41305</v>
      </c>
      <c r="R22" s="224"/>
      <c r="T22" s="221">
        <v>41333</v>
      </c>
      <c r="U22" s="222"/>
    </row>
    <row r="23" spans="2:23" ht="45" x14ac:dyDescent="0.35">
      <c r="B23" s="154" t="s">
        <v>105</v>
      </c>
      <c r="C23" s="155" t="s">
        <v>509</v>
      </c>
      <c r="D23" s="156"/>
      <c r="E23" s="157" t="s">
        <v>510</v>
      </c>
      <c r="F23" s="155" t="s">
        <v>511</v>
      </c>
      <c r="H23" s="157" t="s">
        <v>510</v>
      </c>
      <c r="I23" s="155" t="s">
        <v>511</v>
      </c>
      <c r="K23" s="157" t="s">
        <v>510</v>
      </c>
      <c r="L23" s="155" t="s">
        <v>511</v>
      </c>
      <c r="N23" s="157" t="s">
        <v>510</v>
      </c>
      <c r="O23" s="155" t="s">
        <v>511</v>
      </c>
      <c r="Q23" s="157" t="s">
        <v>510</v>
      </c>
      <c r="R23" s="155" t="s">
        <v>511</v>
      </c>
      <c r="T23" s="157" t="s">
        <v>510</v>
      </c>
      <c r="U23" s="155" t="s">
        <v>511</v>
      </c>
    </row>
    <row r="24" spans="2:23" x14ac:dyDescent="0.25">
      <c r="B24" s="158" t="s">
        <v>216</v>
      </c>
      <c r="C24" s="159">
        <v>4534660</v>
      </c>
      <c r="D24" s="160"/>
      <c r="E24" s="161">
        <v>4824557.773</v>
      </c>
      <c r="F24" s="162">
        <v>289897.77300000004</v>
      </c>
      <c r="H24" s="161">
        <v>4957900.773</v>
      </c>
      <c r="I24" s="162">
        <v>423240.77300000004</v>
      </c>
      <c r="K24" s="161">
        <v>4831543.2340000002</v>
      </c>
      <c r="L24" s="162">
        <v>296883.23400000017</v>
      </c>
      <c r="N24" s="161">
        <v>4801402.2333333334</v>
      </c>
      <c r="O24" s="162">
        <v>266742.2333333334</v>
      </c>
      <c r="Q24" s="161">
        <v>4801402.2333333334</v>
      </c>
      <c r="R24" s="162">
        <v>266742.2333333334</v>
      </c>
      <c r="T24" s="161">
        <f>Summary!G8</f>
        <v>4801402.2333333334</v>
      </c>
      <c r="U24" s="162">
        <f>Summary!H8</f>
        <v>266742.2333333334</v>
      </c>
    </row>
    <row r="25" spans="2:23" x14ac:dyDescent="0.25">
      <c r="B25" s="158" t="s">
        <v>217</v>
      </c>
      <c r="C25" s="159">
        <v>198065</v>
      </c>
      <c r="D25" s="160"/>
      <c r="E25" s="161">
        <v>191465.88</v>
      </c>
      <c r="F25" s="162">
        <v>-6599.1199999999953</v>
      </c>
      <c r="H25" s="161">
        <v>197100.36</v>
      </c>
      <c r="I25" s="162">
        <v>-964.64000000001397</v>
      </c>
      <c r="K25" s="161">
        <v>239915.79200000002</v>
      </c>
      <c r="L25" s="162">
        <v>41850.792000000016</v>
      </c>
      <c r="N25" s="161">
        <v>245925.3</v>
      </c>
      <c r="O25" s="162">
        <v>47860.299999999988</v>
      </c>
      <c r="Q25" s="161">
        <v>245924.02</v>
      </c>
      <c r="R25" s="162">
        <v>47859.01999999999</v>
      </c>
      <c r="T25" s="161">
        <f>Summary!G9</f>
        <v>385702.52</v>
      </c>
      <c r="U25" s="162">
        <f>Summary!H9</f>
        <v>187637.52000000002</v>
      </c>
      <c r="W25" s="163"/>
    </row>
    <row r="26" spans="2:23" x14ac:dyDescent="0.25">
      <c r="B26" s="158" t="s">
        <v>218</v>
      </c>
      <c r="C26" s="159">
        <v>0</v>
      </c>
      <c r="D26" s="160"/>
      <c r="E26" s="161">
        <v>180</v>
      </c>
      <c r="F26" s="162">
        <v>180</v>
      </c>
      <c r="H26" s="161">
        <v>180</v>
      </c>
      <c r="I26" s="162">
        <v>180</v>
      </c>
      <c r="K26" s="161">
        <v>180</v>
      </c>
      <c r="L26" s="162">
        <v>180</v>
      </c>
      <c r="N26" s="161">
        <v>180</v>
      </c>
      <c r="O26" s="162">
        <v>180</v>
      </c>
      <c r="Q26" s="161">
        <v>180</v>
      </c>
      <c r="R26" s="162">
        <v>180</v>
      </c>
      <c r="T26" s="161">
        <f>Summary!G10</f>
        <v>180</v>
      </c>
      <c r="U26" s="162">
        <f>Summary!H10</f>
        <v>180</v>
      </c>
    </row>
    <row r="27" spans="2:23" x14ac:dyDescent="0.25">
      <c r="B27" s="158" t="s">
        <v>252</v>
      </c>
      <c r="C27" s="159">
        <v>3600</v>
      </c>
      <c r="D27" s="160"/>
      <c r="E27" s="161">
        <v>2136.64</v>
      </c>
      <c r="F27" s="162">
        <v>-1463.3600000000001</v>
      </c>
      <c r="H27" s="161">
        <v>3151.71</v>
      </c>
      <c r="I27" s="162">
        <v>-448.28999999999996</v>
      </c>
      <c r="K27" s="161">
        <v>3134.424</v>
      </c>
      <c r="L27" s="162">
        <v>-465.57600000000002</v>
      </c>
      <c r="N27" s="161">
        <v>3752.76</v>
      </c>
      <c r="O27" s="162">
        <v>152.76000000000022</v>
      </c>
      <c r="Q27" s="161">
        <v>4028.8628571428571</v>
      </c>
      <c r="R27" s="162">
        <v>428.86285714285714</v>
      </c>
      <c r="T27" s="161">
        <f>Summary!G11</f>
        <v>4111.41</v>
      </c>
      <c r="U27" s="162">
        <f>Summary!H11</f>
        <v>511.40999999999985</v>
      </c>
    </row>
    <row r="28" spans="2:23" x14ac:dyDescent="0.25">
      <c r="B28" s="158" t="s">
        <v>219</v>
      </c>
      <c r="C28" s="164">
        <v>4736325</v>
      </c>
      <c r="D28" s="160"/>
      <c r="E28" s="165">
        <v>5018340.2929999996</v>
      </c>
      <c r="F28" s="166">
        <v>282015.29300000006</v>
      </c>
      <c r="H28" s="165">
        <v>5158332.8430000003</v>
      </c>
      <c r="I28" s="166">
        <v>422007.84300000005</v>
      </c>
      <c r="K28" s="165">
        <v>5074773.45</v>
      </c>
      <c r="L28" s="166">
        <v>338448.45000000019</v>
      </c>
      <c r="N28" s="165">
        <v>5051260.293333333</v>
      </c>
      <c r="O28" s="166">
        <v>314935.29333333339</v>
      </c>
      <c r="Q28" s="165">
        <v>5051535.1161904754</v>
      </c>
      <c r="R28" s="166">
        <v>315210.11619047628</v>
      </c>
      <c r="T28" s="165">
        <f>SUM(T24:T27)</f>
        <v>5191396.163333334</v>
      </c>
      <c r="U28" s="166">
        <f>SUM(U24:U27)</f>
        <v>455071.16333333339</v>
      </c>
    </row>
    <row r="29" spans="2:23" x14ac:dyDescent="0.25">
      <c r="B29" s="158"/>
      <c r="C29" s="159"/>
      <c r="D29" s="160"/>
      <c r="E29" s="161"/>
      <c r="F29" s="159"/>
      <c r="H29" s="161"/>
      <c r="I29" s="159"/>
      <c r="K29" s="161"/>
      <c r="L29" s="159"/>
      <c r="N29" s="161"/>
      <c r="O29" s="159"/>
      <c r="Q29" s="161"/>
      <c r="R29" s="159"/>
      <c r="T29" s="161"/>
      <c r="U29" s="159"/>
    </row>
    <row r="30" spans="2:23" x14ac:dyDescent="0.25">
      <c r="B30" s="154" t="s">
        <v>221</v>
      </c>
      <c r="C30" s="167"/>
      <c r="D30" s="168"/>
      <c r="E30" s="161" t="s">
        <v>0</v>
      </c>
      <c r="F30" s="159"/>
      <c r="H30" s="161" t="s">
        <v>0</v>
      </c>
      <c r="I30" s="159"/>
      <c r="K30" s="161" t="s">
        <v>0</v>
      </c>
      <c r="L30" s="159"/>
      <c r="N30" s="161" t="s">
        <v>0</v>
      </c>
      <c r="O30" s="159"/>
      <c r="Q30" s="161"/>
      <c r="R30" s="159"/>
      <c r="T30" s="161"/>
      <c r="U30" s="159"/>
    </row>
    <row r="31" spans="2:23" x14ac:dyDescent="0.25">
      <c r="B31" s="158" t="s">
        <v>222</v>
      </c>
      <c r="C31" s="159">
        <v>3190029</v>
      </c>
      <c r="D31" s="160"/>
      <c r="E31" s="169">
        <v>3080317.45</v>
      </c>
      <c r="F31" s="170">
        <v>-109711.54999999981</v>
      </c>
      <c r="H31" s="169">
        <v>3157236.85</v>
      </c>
      <c r="I31" s="170">
        <v>-32792.150000000373</v>
      </c>
      <c r="K31" s="169">
        <v>3157271.156</v>
      </c>
      <c r="L31" s="170">
        <v>-32757.844000000041</v>
      </c>
      <c r="N31" s="169">
        <v>3111157.7</v>
      </c>
      <c r="O31" s="170">
        <v>-78871.299999999814</v>
      </c>
      <c r="Q31" s="169">
        <v>3109139.9414285715</v>
      </c>
      <c r="R31" s="170">
        <v>-80889.058571428526</v>
      </c>
      <c r="T31" s="161">
        <f>-Summary!G15</f>
        <v>3108551.1750000003</v>
      </c>
      <c r="U31" s="162">
        <f>Summary!H15</f>
        <v>-81477.824999999721</v>
      </c>
    </row>
    <row r="32" spans="2:23" x14ac:dyDescent="0.25">
      <c r="B32" s="158" t="s">
        <v>253</v>
      </c>
      <c r="C32" s="159">
        <v>645885</v>
      </c>
      <c r="D32" s="160"/>
      <c r="E32" s="171">
        <v>660493.34764499997</v>
      </c>
      <c r="F32" s="170">
        <v>14608.347644999973</v>
      </c>
      <c r="H32" s="171">
        <v>667116.60630500002</v>
      </c>
      <c r="I32" s="170">
        <v>21231.606305000023</v>
      </c>
      <c r="K32" s="171">
        <v>655395.88789899996</v>
      </c>
      <c r="L32" s="170">
        <v>9510.8878989999648</v>
      </c>
      <c r="N32" s="171">
        <v>653154.73111499997</v>
      </c>
      <c r="O32" s="170">
        <v>7269.7311150000896</v>
      </c>
      <c r="Q32" s="171">
        <v>651333.62756357132</v>
      </c>
      <c r="R32" s="170">
        <v>5448.6275635713246</v>
      </c>
      <c r="T32" s="161">
        <f>-Summary!G16</f>
        <v>694010.70885749999</v>
      </c>
      <c r="U32" s="162">
        <f>Summary!H16</f>
        <v>48125.708857499994</v>
      </c>
    </row>
    <row r="33" spans="2:21" x14ac:dyDescent="0.25">
      <c r="B33" s="158" t="s">
        <v>254</v>
      </c>
      <c r="C33" s="170">
        <v>271450</v>
      </c>
      <c r="D33" s="172"/>
      <c r="E33" s="171">
        <v>378759.41</v>
      </c>
      <c r="F33" s="170">
        <v>107309.40999999997</v>
      </c>
      <c r="H33" s="171">
        <v>393759.41</v>
      </c>
      <c r="I33" s="170">
        <v>122309.40999999997</v>
      </c>
      <c r="K33" s="171">
        <v>396040.41</v>
      </c>
      <c r="L33" s="170">
        <v>124590.40999999997</v>
      </c>
      <c r="N33" s="171">
        <v>433191.16</v>
      </c>
      <c r="O33" s="170">
        <v>161741.15999999997</v>
      </c>
      <c r="Q33" s="171">
        <v>432332.82666666666</v>
      </c>
      <c r="R33" s="170">
        <v>160882.82666666666</v>
      </c>
      <c r="T33" s="161">
        <f>-Summary!G17</f>
        <v>432881.57666666666</v>
      </c>
      <c r="U33" s="162">
        <f>Summary!H17</f>
        <v>161431.57666666666</v>
      </c>
    </row>
    <row r="34" spans="2:21" x14ac:dyDescent="0.25">
      <c r="B34" s="158" t="s">
        <v>255</v>
      </c>
      <c r="C34" s="173">
        <v>83500</v>
      </c>
      <c r="D34" s="174"/>
      <c r="E34" s="171">
        <v>96131.94</v>
      </c>
      <c r="F34" s="170">
        <v>12631.940000000002</v>
      </c>
      <c r="H34" s="171">
        <v>96318.67</v>
      </c>
      <c r="I34" s="170">
        <v>12818.669999999998</v>
      </c>
      <c r="K34" s="171">
        <v>99439.407999999996</v>
      </c>
      <c r="L34" s="170">
        <v>15939.407999999996</v>
      </c>
      <c r="N34" s="171">
        <v>106457.24</v>
      </c>
      <c r="O34" s="170">
        <v>22957.240000000005</v>
      </c>
      <c r="Q34" s="171">
        <v>111818.42857142858</v>
      </c>
      <c r="R34" s="170">
        <v>28318.42857142858</v>
      </c>
      <c r="T34" s="161">
        <f>-Summary!G18</f>
        <v>107597.47</v>
      </c>
      <c r="U34" s="162">
        <f>Summary!H18</f>
        <v>24097.47</v>
      </c>
    </row>
    <row r="35" spans="2:21" x14ac:dyDescent="0.25">
      <c r="B35" s="158" t="s">
        <v>256</v>
      </c>
      <c r="C35" s="173">
        <v>273000</v>
      </c>
      <c r="D35" s="174"/>
      <c r="E35" s="171">
        <v>425000</v>
      </c>
      <c r="F35" s="170">
        <v>152000</v>
      </c>
      <c r="H35" s="171">
        <v>425000</v>
      </c>
      <c r="I35" s="170">
        <v>152000</v>
      </c>
      <c r="K35" s="171">
        <v>425000</v>
      </c>
      <c r="L35" s="170">
        <v>152000</v>
      </c>
      <c r="N35" s="171">
        <v>425000</v>
      </c>
      <c r="O35" s="170">
        <v>152000</v>
      </c>
      <c r="Q35" s="171">
        <v>425000</v>
      </c>
      <c r="R35" s="170">
        <v>152000</v>
      </c>
      <c r="T35" s="161">
        <f>-Summary!G19</f>
        <v>425000</v>
      </c>
      <c r="U35" s="162">
        <f>Summary!H19</f>
        <v>152000</v>
      </c>
    </row>
    <row r="36" spans="2:21" x14ac:dyDescent="0.25">
      <c r="B36" s="158" t="s">
        <v>257</v>
      </c>
      <c r="C36" s="173">
        <v>27828</v>
      </c>
      <c r="D36" s="174"/>
      <c r="E36" s="171">
        <v>25965.68</v>
      </c>
      <c r="F36" s="170">
        <v>-1862.3199999999997</v>
      </c>
      <c r="H36" s="171">
        <v>26144.73</v>
      </c>
      <c r="I36" s="170">
        <v>-1683.2700000000004</v>
      </c>
      <c r="K36" s="171">
        <v>26252.16</v>
      </c>
      <c r="L36" s="170">
        <v>-1575.8400000000038</v>
      </c>
      <c r="N36" s="171">
        <v>26619.78</v>
      </c>
      <c r="O36" s="170">
        <v>-1208.2200000000012</v>
      </c>
      <c r="Q36" s="171">
        <v>26628.651428571429</v>
      </c>
      <c r="R36" s="170">
        <v>-1199.3485714285707</v>
      </c>
      <c r="T36" s="161">
        <f>-Summary!G20</f>
        <v>26635.305</v>
      </c>
      <c r="U36" s="162">
        <f>Summary!H20</f>
        <v>-1192.6949999999997</v>
      </c>
    </row>
    <row r="37" spans="2:21" x14ac:dyDescent="0.25">
      <c r="B37" s="158" t="s">
        <v>258</v>
      </c>
      <c r="C37" s="173">
        <v>80000</v>
      </c>
      <c r="D37" s="174"/>
      <c r="E37" s="171">
        <v>105000</v>
      </c>
      <c r="F37" s="170">
        <v>25000</v>
      </c>
      <c r="H37" s="171">
        <v>105000</v>
      </c>
      <c r="I37" s="170">
        <v>25000</v>
      </c>
      <c r="K37" s="171">
        <v>105000</v>
      </c>
      <c r="L37" s="170">
        <v>25000</v>
      </c>
      <c r="N37" s="171">
        <v>105000</v>
      </c>
      <c r="O37" s="170">
        <v>25000</v>
      </c>
      <c r="Q37" s="171">
        <v>105000</v>
      </c>
      <c r="R37" s="170">
        <v>25000</v>
      </c>
      <c r="T37" s="161">
        <f>-Summary!G21</f>
        <v>105000</v>
      </c>
      <c r="U37" s="162">
        <f>Summary!H21</f>
        <v>25000</v>
      </c>
    </row>
    <row r="38" spans="2:21" x14ac:dyDescent="0.25">
      <c r="B38" s="158" t="s">
        <v>259</v>
      </c>
      <c r="C38" s="173">
        <v>50000</v>
      </c>
      <c r="D38" s="174"/>
      <c r="E38" s="171">
        <v>60000</v>
      </c>
      <c r="F38" s="170">
        <v>10000</v>
      </c>
      <c r="H38" s="171">
        <v>70000</v>
      </c>
      <c r="I38" s="170">
        <v>20000</v>
      </c>
      <c r="K38" s="171">
        <v>70000</v>
      </c>
      <c r="L38" s="170">
        <v>20000</v>
      </c>
      <c r="N38" s="171">
        <v>70000</v>
      </c>
      <c r="O38" s="170">
        <v>20000</v>
      </c>
      <c r="Q38" s="171">
        <v>70000</v>
      </c>
      <c r="R38" s="170">
        <v>20000</v>
      </c>
      <c r="T38" s="161">
        <f>-Summary!G22</f>
        <v>70000</v>
      </c>
      <c r="U38" s="162">
        <f>Summary!H22</f>
        <v>20000</v>
      </c>
    </row>
    <row r="39" spans="2:21" x14ac:dyDescent="0.25">
      <c r="B39" s="158" t="s">
        <v>226</v>
      </c>
      <c r="C39" s="173">
        <v>5000</v>
      </c>
      <c r="D39" s="174"/>
      <c r="E39" s="171">
        <v>22660.55</v>
      </c>
      <c r="F39" s="170">
        <v>17660.55</v>
      </c>
      <c r="H39" s="171">
        <v>22874.55</v>
      </c>
      <c r="I39" s="170">
        <v>17874.55</v>
      </c>
      <c r="K39" s="171">
        <v>22535.360000000001</v>
      </c>
      <c r="L39" s="170">
        <v>17535.36</v>
      </c>
      <c r="N39" s="171">
        <v>22749.360000000001</v>
      </c>
      <c r="O39" s="170">
        <v>17749.36</v>
      </c>
      <c r="Q39" s="171">
        <v>22964.36</v>
      </c>
      <c r="R39" s="170">
        <v>17964.36</v>
      </c>
      <c r="T39" s="161">
        <f>-Summary!G23</f>
        <v>26543.32</v>
      </c>
      <c r="U39" s="162">
        <f>Summary!H23</f>
        <v>21543.32</v>
      </c>
    </row>
    <row r="40" spans="2:21" x14ac:dyDescent="0.25">
      <c r="B40" s="158" t="s">
        <v>228</v>
      </c>
      <c r="C40" s="173">
        <v>89206</v>
      </c>
      <c r="D40" s="174"/>
      <c r="E40" s="171">
        <v>115300</v>
      </c>
      <c r="F40" s="170">
        <v>26094</v>
      </c>
      <c r="H40" s="171">
        <v>138776.95000000001</v>
      </c>
      <c r="I40" s="170">
        <v>49570.950000000012</v>
      </c>
      <c r="K40" s="171">
        <v>144112.11666666699</v>
      </c>
      <c r="L40" s="170">
        <v>54906.116666666698</v>
      </c>
      <c r="N40" s="171">
        <v>143456.156666667</v>
      </c>
      <c r="O40" s="170">
        <v>54250.156666666677</v>
      </c>
      <c r="Q40" s="171">
        <v>149188.59952380953</v>
      </c>
      <c r="R40" s="170">
        <v>59982.599523809535</v>
      </c>
      <c r="T40" s="161">
        <f>-Summary!G24</f>
        <v>178626.33666666664</v>
      </c>
      <c r="U40" s="162">
        <f>Summary!H24</f>
        <v>89420.336666666641</v>
      </c>
    </row>
    <row r="41" spans="2:21" x14ac:dyDescent="0.25">
      <c r="B41" s="158" t="s">
        <v>103</v>
      </c>
      <c r="C41" s="173">
        <v>235795</v>
      </c>
      <c r="D41" s="174"/>
      <c r="E41" s="171">
        <v>0</v>
      </c>
      <c r="F41" s="170">
        <v>-235795</v>
      </c>
      <c r="H41" s="171">
        <v>0</v>
      </c>
      <c r="I41" s="170">
        <v>-235795</v>
      </c>
      <c r="K41" s="171">
        <v>0</v>
      </c>
      <c r="L41" s="170">
        <v>-235795</v>
      </c>
      <c r="N41" s="171">
        <v>0</v>
      </c>
      <c r="O41" s="170">
        <v>-235795</v>
      </c>
      <c r="Q41" s="171">
        <v>0</v>
      </c>
      <c r="R41" s="170">
        <v>-235795</v>
      </c>
      <c r="T41" s="161">
        <f>-Summary!G25</f>
        <v>0</v>
      </c>
      <c r="U41" s="162">
        <f>Summary!H25</f>
        <v>-235795</v>
      </c>
    </row>
    <row r="42" spans="2:21" x14ac:dyDescent="0.25">
      <c r="B42" s="158" t="s">
        <v>229</v>
      </c>
      <c r="C42" s="175">
        <v>4951693</v>
      </c>
      <c r="D42" s="174"/>
      <c r="E42" s="176">
        <v>4969628.3776449999</v>
      </c>
      <c r="F42" s="177">
        <v>17935.377645000117</v>
      </c>
      <c r="H42" s="176">
        <v>5102227.7663049996</v>
      </c>
      <c r="I42" s="177">
        <v>150534.76630499959</v>
      </c>
      <c r="K42" s="176">
        <v>5101046.4985656701</v>
      </c>
      <c r="L42" s="177">
        <v>149353.49856566655</v>
      </c>
      <c r="N42" s="176">
        <v>5096786.1277816696</v>
      </c>
      <c r="O42" s="177">
        <v>145093.12778166687</v>
      </c>
      <c r="Q42" s="176">
        <v>5103406.4351826189</v>
      </c>
      <c r="R42" s="177">
        <v>151713.43518261902</v>
      </c>
      <c r="T42" s="176">
        <f>SUM(T31:T41)</f>
        <v>5174845.8921908336</v>
      </c>
      <c r="U42" s="177">
        <f>SUM(U31:U41)</f>
        <v>223152.89219083358</v>
      </c>
    </row>
    <row r="43" spans="2:21" x14ac:dyDescent="0.25">
      <c r="B43" s="158"/>
      <c r="C43" s="173"/>
      <c r="D43" s="174"/>
      <c r="E43" s="178"/>
      <c r="F43" s="179"/>
      <c r="H43" s="178"/>
      <c r="I43" s="179"/>
      <c r="K43" s="178"/>
      <c r="L43" s="179"/>
      <c r="N43" s="178"/>
      <c r="O43" s="179"/>
      <c r="Q43" s="178"/>
      <c r="R43" s="179"/>
      <c r="T43" s="178"/>
      <c r="U43" s="179"/>
    </row>
    <row r="44" spans="2:21" ht="15.75" thickBot="1" x14ac:dyDescent="0.3">
      <c r="B44" s="180" t="s">
        <v>136</v>
      </c>
      <c r="C44" s="181">
        <f>C28-C42</f>
        <v>-215368</v>
      </c>
      <c r="D44" s="174"/>
      <c r="E44" s="182">
        <f>E28-E42</f>
        <v>48711.915354999714</v>
      </c>
      <c r="F44" s="181">
        <f>F28-F42</f>
        <v>264079.91535499995</v>
      </c>
      <c r="H44" s="182">
        <f>H28-H42</f>
        <v>56105.076695000753</v>
      </c>
      <c r="I44" s="181">
        <f>I28-I42</f>
        <v>271473.07669500046</v>
      </c>
      <c r="K44" s="182">
        <f>K28-K42</f>
        <v>-26273.048565669917</v>
      </c>
      <c r="L44" s="181">
        <f>L28-L42</f>
        <v>189094.95143433363</v>
      </c>
      <c r="N44" s="182">
        <v>-45525.834448334761</v>
      </c>
      <c r="O44" s="181">
        <v>169842.16555166652</v>
      </c>
      <c r="Q44" s="182">
        <v>-51871.318992143497</v>
      </c>
      <c r="R44" s="181">
        <v>163496.68100785726</v>
      </c>
      <c r="T44" s="182">
        <f>T28-T42</f>
        <v>16550.271142500453</v>
      </c>
      <c r="U44" s="181">
        <f>U28-U42</f>
        <v>231918.27114249981</v>
      </c>
    </row>
    <row r="45" spans="2:21" ht="15.75" thickTop="1" x14ac:dyDescent="0.25">
      <c r="B45" s="183"/>
      <c r="C45" s="184"/>
      <c r="D45" s="174"/>
      <c r="E45" s="185"/>
      <c r="F45" s="185"/>
    </row>
    <row r="46" spans="2:21" x14ac:dyDescent="0.25">
      <c r="C46" s="186"/>
      <c r="D46" s="174"/>
      <c r="E46" s="187"/>
      <c r="F46" s="187"/>
      <c r="G46" s="187"/>
      <c r="H46" s="187"/>
    </row>
    <row r="47" spans="2:21" x14ac:dyDescent="0.25">
      <c r="D47" s="174"/>
      <c r="R47" s="132" t="s">
        <v>0</v>
      </c>
    </row>
    <row r="48" spans="2:21" x14ac:dyDescent="0.25">
      <c r="D48" s="174"/>
    </row>
    <row r="49" spans="2:4" x14ac:dyDescent="0.25">
      <c r="D49" s="174"/>
    </row>
    <row r="50" spans="2:4" x14ac:dyDescent="0.25">
      <c r="D50" s="174"/>
    </row>
    <row r="51" spans="2:4" x14ac:dyDescent="0.25">
      <c r="B51" s="188" t="s">
        <v>116</v>
      </c>
      <c r="D51" s="174"/>
    </row>
    <row r="52" spans="2:4" x14ac:dyDescent="0.25">
      <c r="B52" s="189">
        <v>41182</v>
      </c>
      <c r="D52" s="174"/>
    </row>
    <row r="53" spans="2:4" x14ac:dyDescent="0.25">
      <c r="B53" s="189">
        <v>41213</v>
      </c>
      <c r="D53" s="174"/>
    </row>
    <row r="54" spans="2:4" x14ac:dyDescent="0.25">
      <c r="B54" s="189">
        <v>41243</v>
      </c>
      <c r="D54" s="190"/>
    </row>
    <row r="55" spans="2:4" x14ac:dyDescent="0.25">
      <c r="B55" s="189">
        <v>41274</v>
      </c>
      <c r="D55" s="190"/>
    </row>
    <row r="56" spans="2:4" x14ac:dyDescent="0.25">
      <c r="B56" s="189">
        <v>41305</v>
      </c>
      <c r="D56" s="190"/>
    </row>
    <row r="57" spans="2:4" x14ac:dyDescent="0.25">
      <c r="B57" s="189">
        <v>41333</v>
      </c>
      <c r="D57" s="184"/>
    </row>
    <row r="58" spans="2:4" x14ac:dyDescent="0.25">
      <c r="D58" s="187"/>
    </row>
  </sheetData>
  <mergeCells count="7">
    <mergeCell ref="T22:U22"/>
    <mergeCell ref="N22:O22"/>
    <mergeCell ref="B22:C22"/>
    <mergeCell ref="E22:F22"/>
    <mergeCell ref="H22:I22"/>
    <mergeCell ref="K22:L22"/>
    <mergeCell ref="Q22:R22"/>
  </mergeCells>
  <pageMargins left="0.7" right="0.7" top="0.75" bottom="0.75" header="0.3" footer="0.3"/>
  <pageSetup scale="7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52"/>
  <sheetViews>
    <sheetView zoomScale="80" zoomScaleNormal="80" workbookViewId="0">
      <pane xSplit="4" ySplit="2" topLeftCell="I3" activePane="bottomRight" state="frozen"/>
      <selection pane="topRight" activeCell="E1" sqref="E1"/>
      <selection pane="bottomLeft" activeCell="A3" sqref="A3"/>
      <selection pane="bottomRight" activeCell="A2" sqref="A2:C2"/>
    </sheetView>
  </sheetViews>
  <sheetFormatPr defaultRowHeight="15" outlineLevelRow="1" x14ac:dyDescent="0.25"/>
  <cols>
    <col min="1" max="1" width="4.42578125" style="16" customWidth="1"/>
    <col min="2" max="2" width="5.5703125" style="16" bestFit="1" customWidth="1"/>
    <col min="3" max="3" width="39" style="16" customWidth="1"/>
    <col min="4" max="4" width="0.85546875" style="16" customWidth="1"/>
    <col min="5" max="5" width="16.7109375" style="26" customWidth="1"/>
    <col min="6" max="6" width="0.85546875" style="16" customWidth="1"/>
    <col min="7" max="7" width="16.7109375" style="16" customWidth="1"/>
    <col min="8" max="8" width="0.85546875" style="16" customWidth="1"/>
    <col min="9" max="9" width="16.7109375" style="16" customWidth="1"/>
    <col min="10" max="10" width="0.85546875" style="16" customWidth="1"/>
    <col min="11" max="11" width="16.7109375" style="16" customWidth="1"/>
    <col min="12" max="12" width="0.85546875" style="16" customWidth="1"/>
    <col min="13" max="13" width="38.28515625" style="16" customWidth="1"/>
    <col min="14" max="14" width="15.140625" style="16" customWidth="1"/>
    <col min="15" max="15" width="16.7109375" style="16" customWidth="1"/>
    <col min="16" max="16" width="0.85546875" style="16" customWidth="1"/>
    <col min="17" max="17" width="16.7109375" style="16" customWidth="1"/>
    <col min="18" max="18" width="0.85546875" style="16" customWidth="1"/>
    <col min="19" max="19" width="16.7109375" style="16" customWidth="1"/>
    <col min="20" max="20" width="0.85546875" style="16" customWidth="1"/>
    <col min="21" max="21" width="53.28515625" style="94" customWidth="1"/>
    <col min="22" max="23" width="9.140625" style="16"/>
    <col min="24" max="24" width="23.5703125" style="16" bestFit="1" customWidth="1"/>
    <col min="25" max="25" width="25.85546875" style="16" bestFit="1" customWidth="1"/>
    <col min="26" max="16384" width="9.140625" style="16"/>
  </cols>
  <sheetData>
    <row r="1" spans="1:25" ht="15.75" thickBot="1" x14ac:dyDescent="0.3"/>
    <row r="2" spans="1:25" s="39" customFormat="1" ht="65.099999999999994" customHeight="1" thickTop="1" thickBot="1" x14ac:dyDescent="0.3">
      <c r="A2" s="229" t="s">
        <v>548</v>
      </c>
      <c r="B2" s="229"/>
      <c r="C2" s="229"/>
      <c r="D2" s="1"/>
      <c r="E2" s="46" t="s">
        <v>422</v>
      </c>
      <c r="F2" s="34"/>
      <c r="G2" s="46" t="s">
        <v>549</v>
      </c>
      <c r="H2" s="34"/>
      <c r="I2" s="47" t="s">
        <v>550</v>
      </c>
      <c r="J2" s="35"/>
      <c r="K2" s="47" t="s">
        <v>551</v>
      </c>
      <c r="L2" s="36"/>
      <c r="M2" s="191" t="s">
        <v>513</v>
      </c>
      <c r="N2" s="191" t="s">
        <v>514</v>
      </c>
      <c r="O2" s="47" t="s">
        <v>552</v>
      </c>
      <c r="P2" s="37"/>
      <c r="Q2" s="47" t="s">
        <v>553</v>
      </c>
      <c r="R2" s="37"/>
      <c r="S2" s="47" t="s">
        <v>423</v>
      </c>
      <c r="T2" s="38"/>
      <c r="U2" s="47" t="s">
        <v>111</v>
      </c>
    </row>
    <row r="3" spans="1:25" ht="15.75" x14ac:dyDescent="0.25">
      <c r="A3" s="227" t="s">
        <v>105</v>
      </c>
      <c r="B3" s="227"/>
      <c r="C3" s="227"/>
      <c r="D3" s="29"/>
      <c r="E3" s="23"/>
      <c r="L3" s="40"/>
      <c r="X3" s="196" t="s">
        <v>522</v>
      </c>
      <c r="Y3" s="196" t="s">
        <v>523</v>
      </c>
    </row>
    <row r="4" spans="1:25" x14ac:dyDescent="0.25">
      <c r="A4" s="2" t="s">
        <v>1</v>
      </c>
      <c r="B4" s="20"/>
      <c r="C4" s="4"/>
      <c r="D4" s="4"/>
      <c r="E4" s="24"/>
      <c r="L4" s="40"/>
      <c r="X4" s="197">
        <v>8</v>
      </c>
      <c r="Y4" s="197">
        <f>12-X4</f>
        <v>4</v>
      </c>
    </row>
    <row r="5" spans="1:25" ht="60" x14ac:dyDescent="0.25">
      <c r="A5" s="2"/>
      <c r="B5" s="20">
        <v>4101</v>
      </c>
      <c r="C5" s="97" t="s">
        <v>2</v>
      </c>
      <c r="D5" s="17"/>
      <c r="E5" s="24">
        <v>3922830</v>
      </c>
      <c r="F5" s="26"/>
      <c r="G5" s="26">
        <f>'Mapping Data'!C10</f>
        <v>2615224</v>
      </c>
      <c r="H5" s="26"/>
      <c r="I5" s="26">
        <f>'Mapping Data'!B10</f>
        <v>2695703.39</v>
      </c>
      <c r="J5" s="26"/>
      <c r="K5" s="26">
        <f>I5-G5</f>
        <v>80479.39000000013</v>
      </c>
      <c r="L5" s="45"/>
      <c r="M5" s="192" t="s">
        <v>515</v>
      </c>
      <c r="N5" s="193">
        <f>('Enrollment Summary'!O6*13527)-(((13527/12)*4)*3)</f>
        <v>4069286.8289999999</v>
      </c>
      <c r="O5" s="198">
        <f>IF(M5="Average of YTD",I5/$X$4*$Y$4)+IF(M5="Budget",E5-I5)+IF(M5="Hard coded - Actual TY Projection",N5-I5)+IF(M5="Hard coded - Remaining Year Projection",N5)+IF(M5="Payroll 12 months",I5/$X$10*Y$10)+IF(M5="Payroll 11 months",I5/$X$10*$Y$10)+IF(M5="Zero","0.00")+IF(M5="Clearing",-I5)</f>
        <v>1373583.4389999998</v>
      </c>
      <c r="P5" s="26"/>
      <c r="Q5" s="26">
        <f>O5+I5</f>
        <v>4069286.8289999999</v>
      </c>
      <c r="R5" s="26"/>
      <c r="S5" s="26">
        <f>Q5-E5</f>
        <v>146456.82899999991</v>
      </c>
      <c r="U5" s="94" t="s">
        <v>532</v>
      </c>
      <c r="X5" s="197"/>
      <c r="Y5" s="197"/>
    </row>
    <row r="6" spans="1:25" ht="123" customHeight="1" x14ac:dyDescent="0.25">
      <c r="A6" s="2"/>
      <c r="B6" s="20">
        <v>4102</v>
      </c>
      <c r="C6" s="97" t="s">
        <v>3</v>
      </c>
      <c r="D6" s="17"/>
      <c r="E6" s="24">
        <v>588780</v>
      </c>
      <c r="F6" s="26"/>
      <c r="G6" s="26">
        <f>'Mapping Data'!C11</f>
        <v>392520</v>
      </c>
      <c r="H6" s="26"/>
      <c r="I6" s="26">
        <f>'Mapping Data'!B11</f>
        <v>447390.83</v>
      </c>
      <c r="J6" s="26"/>
      <c r="K6" s="26">
        <f t="shared" ref="K6:K9" si="0">I6-G6</f>
        <v>54870.830000000016</v>
      </c>
      <c r="L6" s="45"/>
      <c r="M6" s="192" t="s">
        <v>515</v>
      </c>
      <c r="N6" s="193">
        <f>('Enrollment Summary'!O18*10390)+('Enrollment Summary'!O22*19049)-((19049/12)*4)</f>
        <v>708271.40433333337</v>
      </c>
      <c r="O6" s="198">
        <f>IF(M6="Average of YTD",I6/$X$4*$Y$4)+IF(M6="Budget",E6-I6)+IF(M6="Hard coded - Actual TY Projection",N6-I6)+IF(M6="Hard coded - Remaining Year Projection",N6)+IF(M6="Payroll 12 months",I6/$X$10*Y$10)+IF(M6="Payroll 11 months",I6/$X$10*$Y$10)+IF(M6="Zero","0.00")+IF(M6="Clearing",-I6)</f>
        <v>260880.57433333335</v>
      </c>
      <c r="P6" s="26"/>
      <c r="Q6" s="26">
        <f t="shared" ref="Q6:Q9" si="1">O6+I6</f>
        <v>708271.40433333337</v>
      </c>
      <c r="R6" s="26"/>
      <c r="S6" s="26">
        <f t="shared" ref="S6:S9" si="2">Q6-E6</f>
        <v>119491.40433333337</v>
      </c>
      <c r="U6" s="94" t="s">
        <v>533</v>
      </c>
      <c r="X6" s="197" t="s">
        <v>524</v>
      </c>
      <c r="Y6" s="197" t="s">
        <v>525</v>
      </c>
    </row>
    <row r="7" spans="1:25" ht="90" x14ac:dyDescent="0.25">
      <c r="A7" s="2"/>
      <c r="B7" s="20">
        <v>4103</v>
      </c>
      <c r="C7" t="s">
        <v>4</v>
      </c>
      <c r="D7" s="17"/>
      <c r="E7" s="24">
        <v>16893</v>
      </c>
      <c r="F7" s="26"/>
      <c r="G7" s="26">
        <f>'Mapping Data'!C12</f>
        <v>14080</v>
      </c>
      <c r="H7" s="26"/>
      <c r="I7" s="26">
        <f>'Mapping Data'!B12</f>
        <v>0</v>
      </c>
      <c r="J7" s="26"/>
      <c r="K7" s="26">
        <f t="shared" si="0"/>
        <v>-14080</v>
      </c>
      <c r="L7" s="45"/>
      <c r="M7" s="192" t="s">
        <v>515</v>
      </c>
      <c r="N7" s="193">
        <v>17475</v>
      </c>
      <c r="O7" s="198">
        <f>IF(M7="Average of YTD",I7/$X$4*$Y$4)+IF(M7="Budget",E7-I7)+IF(M7="Hard coded - Actual TY Projection",N7-I7)+IF(M7="Hard coded - Remaining Year Projection",N7)+IF(M7="Payroll 12 months",I7/$X$10*Y$10)+IF(M7="Payroll 11 months",I7/$X$10*$Y$10)+IF(M7="Zero","0.00")+IF(M7="Clearing",-I7)</f>
        <v>17475</v>
      </c>
      <c r="P7" s="26"/>
      <c r="Q7" s="26">
        <f t="shared" si="1"/>
        <v>17475</v>
      </c>
      <c r="R7" s="26"/>
      <c r="S7" s="26">
        <f t="shared" si="2"/>
        <v>582</v>
      </c>
      <c r="U7" s="94" t="s">
        <v>460</v>
      </c>
      <c r="X7" s="197">
        <v>8</v>
      </c>
      <c r="Y7" s="197">
        <f>12-X7</f>
        <v>4</v>
      </c>
    </row>
    <row r="8" spans="1:25" ht="90" x14ac:dyDescent="0.25">
      <c r="A8" s="2"/>
      <c r="B8" s="20">
        <v>4104</v>
      </c>
      <c r="C8" t="s">
        <v>5</v>
      </c>
      <c r="D8" s="17"/>
      <c r="E8" s="24">
        <v>4344</v>
      </c>
      <c r="F8" s="26"/>
      <c r="G8" s="26">
        <f>'Mapping Data'!C13</f>
        <v>3620</v>
      </c>
      <c r="H8" s="26"/>
      <c r="I8" s="26">
        <f>'Mapping Data'!B13</f>
        <v>0</v>
      </c>
      <c r="J8" s="26"/>
      <c r="K8" s="26">
        <f t="shared" si="0"/>
        <v>-3620</v>
      </c>
      <c r="L8" s="45"/>
      <c r="M8" s="192" t="s">
        <v>515</v>
      </c>
      <c r="N8" s="193">
        <v>4494</v>
      </c>
      <c r="O8" s="198">
        <f>IF(M8="Average of YTD",I8/$X$4*$Y$4)+IF(M8="Budget",E8-I8)+IF(M8="Hard coded - Actual TY Projection",N8-I8)+IF(M8="Hard coded - Remaining Year Projection",N8)+IF(M8="Payroll 12 months",I8/$X$10*Y$10)+IF(M8="Payroll 11 months",I8/$X$10*$Y$10)+IF(M8="Zero","0.00")+IF(M8="Clearing",-I8)</f>
        <v>4494</v>
      </c>
      <c r="P8" s="26"/>
      <c r="Q8" s="26">
        <f t="shared" si="1"/>
        <v>4494</v>
      </c>
      <c r="R8" s="26"/>
      <c r="S8" s="26">
        <f t="shared" si="2"/>
        <v>150</v>
      </c>
      <c r="U8" s="94" t="s">
        <v>460</v>
      </c>
      <c r="X8" s="197"/>
      <c r="Y8" s="197"/>
    </row>
    <row r="9" spans="1:25" ht="90" x14ac:dyDescent="0.25">
      <c r="A9" s="2"/>
      <c r="B9" s="20">
        <v>4105</v>
      </c>
      <c r="C9" t="s">
        <v>6</v>
      </c>
      <c r="D9" s="17"/>
      <c r="E9" s="24">
        <v>1813</v>
      </c>
      <c r="F9" s="26"/>
      <c r="G9" s="26">
        <f>'Mapping Data'!C14</f>
        <v>1510</v>
      </c>
      <c r="H9" s="26"/>
      <c r="I9" s="26">
        <f>'Mapping Data'!B14</f>
        <v>0</v>
      </c>
      <c r="J9" s="26"/>
      <c r="K9" s="26">
        <f t="shared" si="0"/>
        <v>-1510</v>
      </c>
      <c r="L9" s="45"/>
      <c r="M9" s="192" t="s">
        <v>515</v>
      </c>
      <c r="N9" s="193">
        <v>1875</v>
      </c>
      <c r="O9" s="198">
        <f>IF(M9="Average of YTD",I9/$X$4*$Y$4)+IF(M9="Budget",E9-I9)+IF(M9="Hard coded - Actual TY Projection",N9-I9)+IF(M9="Hard coded - Remaining Year Projection",N9)+IF(M9="Payroll 12 months",I9/$X$10*Y$10)+IF(M9="Payroll 11 months",I9/$X$10*$Y$10)+IF(M9="Zero","0.00")+IF(M9="Clearing",-I9)</f>
        <v>1875</v>
      </c>
      <c r="P9" s="26"/>
      <c r="Q9" s="26">
        <f t="shared" si="1"/>
        <v>1875</v>
      </c>
      <c r="R9" s="26"/>
      <c r="S9" s="26">
        <f t="shared" si="2"/>
        <v>62</v>
      </c>
      <c r="U9" s="94" t="s">
        <v>460</v>
      </c>
      <c r="X9" s="197" t="s">
        <v>527</v>
      </c>
      <c r="Y9" s="197" t="s">
        <v>528</v>
      </c>
    </row>
    <row r="10" spans="1:25" x14ac:dyDescent="0.25">
      <c r="A10" s="2"/>
      <c r="B10" s="20"/>
      <c r="C10" s="11" t="s">
        <v>7</v>
      </c>
      <c r="D10" s="11"/>
      <c r="E10" s="27">
        <f>SUM(E5:E9)</f>
        <v>4534660</v>
      </c>
      <c r="F10" s="24"/>
      <c r="G10" s="27">
        <f t="shared" ref="G10:K10" si="3">SUM(G5:G9)</f>
        <v>3026954</v>
      </c>
      <c r="H10" s="24"/>
      <c r="I10" s="27">
        <f t="shared" si="3"/>
        <v>3143094.22</v>
      </c>
      <c r="J10" s="24"/>
      <c r="K10" s="27">
        <f t="shared" si="3"/>
        <v>116140.22000000015</v>
      </c>
      <c r="L10" s="41">
        <f>SUM(L5:L9)</f>
        <v>0</v>
      </c>
      <c r="M10" s="27"/>
      <c r="N10" s="27"/>
      <c r="O10" s="27">
        <f t="shared" ref="O10" si="4">SUM(O5:O9)</f>
        <v>1658308.0133333332</v>
      </c>
      <c r="P10" s="24"/>
      <c r="Q10" s="27">
        <f t="shared" ref="Q10" si="5">SUM(Q5:Q9)</f>
        <v>4801402.2333333334</v>
      </c>
      <c r="R10" s="24"/>
      <c r="S10" s="80">
        <f t="shared" ref="S10" si="6">SUM(S5:S9)</f>
        <v>266742.23333333328</v>
      </c>
      <c r="X10" s="197">
        <v>7</v>
      </c>
      <c r="Y10" s="197">
        <f>12-X10</f>
        <v>5</v>
      </c>
    </row>
    <row r="11" spans="1:25" x14ac:dyDescent="0.25">
      <c r="A11" s="5" t="s">
        <v>8</v>
      </c>
      <c r="B11" s="20"/>
      <c r="C11" s="4"/>
      <c r="D11" s="4"/>
      <c r="E11" s="24"/>
      <c r="F11" s="26"/>
      <c r="G11" s="26"/>
      <c r="H11" s="26"/>
      <c r="I11" s="26"/>
      <c r="J11" s="26"/>
      <c r="K11" s="26"/>
      <c r="L11" s="45"/>
      <c r="M11" s="26"/>
      <c r="N11" s="26"/>
      <c r="O11" s="26"/>
      <c r="P11" s="26"/>
      <c r="Q11" s="26"/>
      <c r="R11" s="26"/>
      <c r="S11" s="26"/>
    </row>
    <row r="12" spans="1:25" ht="28.5" customHeight="1" x14ac:dyDescent="0.25">
      <c r="A12" s="21"/>
      <c r="B12" s="20">
        <v>4201</v>
      </c>
      <c r="C12" t="s">
        <v>9</v>
      </c>
      <c r="D12" s="17"/>
      <c r="E12" s="24">
        <v>103000</v>
      </c>
      <c r="F12" s="26"/>
      <c r="G12" s="26">
        <f>'Mapping Data'!C17</f>
        <v>61800</v>
      </c>
      <c r="H12" s="26"/>
      <c r="I12" s="26">
        <f>'Mapping Data'!B17</f>
        <v>74453.399999999994</v>
      </c>
      <c r="J12" s="26"/>
      <c r="K12" s="26">
        <f t="shared" ref="K12:K15" si="7">I12-G12</f>
        <v>12653.399999999994</v>
      </c>
      <c r="L12" s="45"/>
      <c r="M12" s="192" t="s">
        <v>515</v>
      </c>
      <c r="N12" s="193">
        <v>164285</v>
      </c>
      <c r="O12" s="198">
        <f>IF(M12="Average of YTD",I12/$X$4*$Y$4)+IF(M12="Budget",E12-I12)+IF(M12="Hard coded - Actual TY Projection",N12-I12)+IF(M12="Hard coded - Remaining Year Projection",N12)+IF(M12="Payroll 12 months",I12/$X$10*Y$10)+IF(M12="Payroll 11 months",I12/$X$10*$Y$10)+IF(M12="Zero","0.00")+IF(M12="Clearing",-I12)</f>
        <v>89831.6</v>
      </c>
      <c r="P12" s="26"/>
      <c r="Q12" s="26">
        <f>O12+I12</f>
        <v>164285</v>
      </c>
      <c r="R12" s="26"/>
      <c r="S12" s="26">
        <f t="shared" ref="S12:S15" si="8">Q12-E12</f>
        <v>61285</v>
      </c>
      <c r="U12" s="94" t="s">
        <v>497</v>
      </c>
    </row>
    <row r="13" spans="1:25" ht="29.25" customHeight="1" x14ac:dyDescent="0.25">
      <c r="A13" s="21"/>
      <c r="B13" s="20">
        <v>4203</v>
      </c>
      <c r="C13" t="s">
        <v>10</v>
      </c>
      <c r="D13" s="17"/>
      <c r="E13" s="24">
        <v>9700</v>
      </c>
      <c r="F13" s="26"/>
      <c r="G13" s="26">
        <f>'Mapping Data'!C18</f>
        <v>5820</v>
      </c>
      <c r="H13" s="26"/>
      <c r="I13" s="26">
        <f>'Mapping Data'!B18</f>
        <v>5652</v>
      </c>
      <c r="J13" s="26"/>
      <c r="K13" s="26">
        <f t="shared" si="7"/>
        <v>-168</v>
      </c>
      <c r="L13" s="45"/>
      <c r="M13" s="192" t="s">
        <v>515</v>
      </c>
      <c r="N13" s="193">
        <v>9420</v>
      </c>
      <c r="O13" s="198">
        <f>IF(M13="Average of YTD",I13/$X$4*$Y$4)+IF(M13="Budget",E13-I13)+IF(M13="Hard coded - Actual TY Projection",N13-I13)+IF(M13="Hard coded - Remaining Year Projection",N13)+IF(M13="Payroll 12 months",I13/$X$10*Y$10)+IF(M13="Payroll 11 months",I13/$X$10*$Y$10)+IF(M13="Zero","0.00")+IF(M13="Clearing",-I13)</f>
        <v>3768</v>
      </c>
      <c r="P13" s="26"/>
      <c r="Q13" s="26">
        <f t="shared" ref="Q13:Q15" si="9">O13+I13</f>
        <v>9420</v>
      </c>
      <c r="R13" s="26"/>
      <c r="S13" s="26">
        <f t="shared" si="8"/>
        <v>-280</v>
      </c>
      <c r="U13" s="94" t="s">
        <v>497</v>
      </c>
    </row>
    <row r="14" spans="1:25" ht="60" x14ac:dyDescent="0.25">
      <c r="A14" s="21"/>
      <c r="B14" s="20">
        <v>4204</v>
      </c>
      <c r="C14" t="s">
        <v>11</v>
      </c>
      <c r="D14" s="17"/>
      <c r="E14" s="24">
        <v>55665</v>
      </c>
      <c r="F14" s="26"/>
      <c r="G14" s="26">
        <f>'Mapping Data'!C19</f>
        <v>55665</v>
      </c>
      <c r="H14" s="26"/>
      <c r="I14" s="26">
        <f>'Mapping Data'!B19</f>
        <v>0</v>
      </c>
      <c r="J14" s="26"/>
      <c r="K14" s="26">
        <f t="shared" si="7"/>
        <v>-55665</v>
      </c>
      <c r="L14" s="45"/>
      <c r="M14" s="192" t="s">
        <v>515</v>
      </c>
      <c r="N14" s="193">
        <f>45*1087</f>
        <v>48915</v>
      </c>
      <c r="O14" s="198">
        <f>IF(M14="Average of YTD",I14/$X$4*$Y$4)+IF(M14="Budget",E14-I14)+IF(M14="Hard coded - Actual TY Projection",N14-I14)+IF(M14="Hard coded - Remaining Year Projection",N14)+IF(M14="Payroll 12 months",I14/$X$10*Y$10)+IF(M14="Payroll 11 months",I14/$X$10*$Y$10)+IF(M14="Zero","0.00")+IF(M14="Clearing",-I14)</f>
        <v>48915</v>
      </c>
      <c r="P14" s="26"/>
      <c r="Q14" s="26">
        <f t="shared" si="9"/>
        <v>48915</v>
      </c>
      <c r="R14" s="26"/>
      <c r="S14" s="26">
        <f t="shared" si="8"/>
        <v>-6750</v>
      </c>
      <c r="U14" s="94" t="s">
        <v>426</v>
      </c>
    </row>
    <row r="15" spans="1:25" x14ac:dyDescent="0.25">
      <c r="A15" s="21"/>
      <c r="B15" s="20">
        <v>4205</v>
      </c>
      <c r="C15" t="s">
        <v>12</v>
      </c>
      <c r="D15" s="17"/>
      <c r="E15" s="24">
        <v>29700</v>
      </c>
      <c r="F15" s="26"/>
      <c r="G15" s="26">
        <f>'Mapping Data'!C20</f>
        <v>19800</v>
      </c>
      <c r="H15" s="26"/>
      <c r="I15" s="26">
        <f>'Mapping Data'!B20</f>
        <v>11804.02</v>
      </c>
      <c r="J15" s="26"/>
      <c r="K15" s="26">
        <f t="shared" si="7"/>
        <v>-7995.98</v>
      </c>
      <c r="L15" s="45"/>
      <c r="M15" s="192" t="s">
        <v>518</v>
      </c>
      <c r="N15" s="193">
        <f>2300*4+(157865*0.9)</f>
        <v>151278.5</v>
      </c>
      <c r="O15" s="198">
        <f>IF(M15="Average of YTD",I15/$X$4*$Y$4)+IF(M15="Budget",E15-I15)+IF(M15="Hard coded - Actual TY Projection",N15-I15)+IF(M15="Hard coded - Remaining Year Projection",N15)+IF(M15="Payroll 12 months",I15/$X$10*Y$10)+IF(M15="Payroll 11 months",I15/$X$10*$Y$10)+IF(M15="Zero","0.00")+IF(M15="Clearing",-I15)</f>
        <v>151278.5</v>
      </c>
      <c r="P15" s="26"/>
      <c r="Q15" s="26">
        <f t="shared" si="9"/>
        <v>163082.51999999999</v>
      </c>
      <c r="R15" s="26"/>
      <c r="S15" s="26">
        <f t="shared" si="8"/>
        <v>133382.51999999999</v>
      </c>
      <c r="U15" s="94" t="s">
        <v>427</v>
      </c>
    </row>
    <row r="16" spans="1:25" x14ac:dyDescent="0.25">
      <c r="A16" s="21"/>
      <c r="B16" s="20"/>
      <c r="C16" s="3" t="s">
        <v>7</v>
      </c>
      <c r="D16" s="3"/>
      <c r="E16" s="27">
        <f>SUM(E12:E15)</f>
        <v>198065</v>
      </c>
      <c r="F16" s="24"/>
      <c r="G16" s="27">
        <f t="shared" ref="G16:S16" si="10">SUM(G12:G15)</f>
        <v>143085</v>
      </c>
      <c r="H16" s="24"/>
      <c r="I16" s="27">
        <f t="shared" si="10"/>
        <v>91909.42</v>
      </c>
      <c r="J16" s="24"/>
      <c r="K16" s="27">
        <f t="shared" si="10"/>
        <v>-51175.58</v>
      </c>
      <c r="L16" s="41">
        <f t="shared" si="10"/>
        <v>0</v>
      </c>
      <c r="M16" s="27"/>
      <c r="N16" s="27"/>
      <c r="O16" s="27">
        <f t="shared" si="10"/>
        <v>293793.09999999998</v>
      </c>
      <c r="P16" s="24"/>
      <c r="Q16" s="27">
        <f t="shared" si="10"/>
        <v>385702.52</v>
      </c>
      <c r="R16" s="24"/>
      <c r="S16" s="27">
        <f t="shared" si="10"/>
        <v>187637.52</v>
      </c>
    </row>
    <row r="17" spans="1:21" x14ac:dyDescent="0.25">
      <c r="A17" s="5" t="s">
        <v>13</v>
      </c>
      <c r="B17" s="20"/>
      <c r="C17" s="4"/>
      <c r="D17" s="3"/>
      <c r="E17" s="24"/>
      <c r="F17" s="24"/>
      <c r="G17" s="24"/>
      <c r="H17" s="24"/>
      <c r="I17" s="24"/>
      <c r="J17" s="24"/>
      <c r="K17" s="24"/>
      <c r="L17" s="44"/>
      <c r="M17" s="24"/>
      <c r="N17" s="24"/>
      <c r="O17" s="24"/>
      <c r="P17" s="24"/>
      <c r="Q17" s="24"/>
      <c r="R17" s="24"/>
      <c r="S17" s="24"/>
    </row>
    <row r="18" spans="1:21" x14ac:dyDescent="0.25">
      <c r="A18" s="2"/>
      <c r="B18" s="20">
        <v>4301</v>
      </c>
      <c r="C18" t="s">
        <v>212</v>
      </c>
      <c r="D18" s="3"/>
      <c r="E18" s="24">
        <v>0</v>
      </c>
      <c r="F18" s="26"/>
      <c r="G18" s="26">
        <f>'Mapping Data'!C23</f>
        <v>0</v>
      </c>
      <c r="H18" s="26"/>
      <c r="I18" s="26">
        <f>'Mapping Data'!B24</f>
        <v>180</v>
      </c>
      <c r="J18" s="26"/>
      <c r="K18" s="26">
        <f>I18-G18</f>
        <v>180</v>
      </c>
      <c r="L18" s="45"/>
      <c r="M18" s="192" t="s">
        <v>519</v>
      </c>
      <c r="N18" s="193"/>
      <c r="O18" s="198">
        <f t="shared" ref="O18:O19" si="11">IF(M18="Average of YTD",I18/$X$4*$Y$4)+IF(M18="Budget",E18-I18)+IF(M18="Hard coded - Actual TY Projection",N18-I18)+IF(M18="Hard coded - Remaining Year Projection",N18)+IF(M18="Payroll 12 months",I18/$X$10*Y$10)+IF(M18="Payroll 11 months",I18/$X$10*$Y$10)+IF(M18="Zero","0.00")+IF(M18="Clearing",-I18)</f>
        <v>0</v>
      </c>
      <c r="P18" s="26"/>
      <c r="Q18" s="26">
        <f>O18+I18</f>
        <v>180</v>
      </c>
      <c r="R18" s="26"/>
      <c r="S18" s="26">
        <f>Q18-E18</f>
        <v>180</v>
      </c>
    </row>
    <row r="19" spans="1:21" x14ac:dyDescent="0.25">
      <c r="A19" s="2"/>
      <c r="B19" s="20">
        <v>4302</v>
      </c>
      <c r="C19" s="132" t="s">
        <v>273</v>
      </c>
      <c r="D19" s="3"/>
      <c r="E19" s="24">
        <v>0</v>
      </c>
      <c r="F19" s="26"/>
      <c r="G19" s="26">
        <f>'Mapping Data'!C24</f>
        <v>0</v>
      </c>
      <c r="H19" s="26"/>
      <c r="I19" s="26">
        <f>'Mapping Data'!B25</f>
        <v>0</v>
      </c>
      <c r="J19" s="26"/>
      <c r="K19" s="26">
        <f>I19-G19</f>
        <v>0</v>
      </c>
      <c r="L19" s="45"/>
      <c r="M19" s="192" t="s">
        <v>519</v>
      </c>
      <c r="N19" s="193"/>
      <c r="O19" s="198">
        <f t="shared" si="11"/>
        <v>0</v>
      </c>
      <c r="P19" s="26"/>
      <c r="Q19" s="26">
        <f>O19+I19</f>
        <v>0</v>
      </c>
      <c r="R19" s="26"/>
      <c r="S19" s="26">
        <f>Q19-E19</f>
        <v>0</v>
      </c>
    </row>
    <row r="20" spans="1:21" x14ac:dyDescent="0.25">
      <c r="A20" s="21"/>
      <c r="B20" s="20"/>
      <c r="C20" s="3" t="s">
        <v>7</v>
      </c>
      <c r="D20" s="3"/>
      <c r="E20" s="27">
        <f>E18+E19</f>
        <v>0</v>
      </c>
      <c r="F20" s="24"/>
      <c r="G20" s="27">
        <f>G18+G19</f>
        <v>0</v>
      </c>
      <c r="H20" s="24"/>
      <c r="I20" s="27">
        <f>I18+I19</f>
        <v>180</v>
      </c>
      <c r="J20" s="24"/>
      <c r="K20" s="27">
        <f>K18+K19</f>
        <v>180</v>
      </c>
      <c r="L20" s="41">
        <f t="shared" ref="L20" si="12">L18</f>
        <v>0</v>
      </c>
      <c r="M20" s="27"/>
      <c r="N20" s="27"/>
      <c r="O20" s="27">
        <f>O18+O19</f>
        <v>0</v>
      </c>
      <c r="P20" s="24"/>
      <c r="Q20" s="27">
        <f>Q18+Q19</f>
        <v>180</v>
      </c>
      <c r="R20" s="24"/>
      <c r="S20" s="27">
        <f>S18+S19</f>
        <v>180</v>
      </c>
    </row>
    <row r="21" spans="1:21" x14ac:dyDescent="0.25">
      <c r="A21" s="5" t="s">
        <v>14</v>
      </c>
      <c r="B21" s="20"/>
      <c r="C21" s="4"/>
      <c r="D21" s="4"/>
      <c r="E21" s="24"/>
      <c r="F21" s="26"/>
      <c r="G21" s="26"/>
      <c r="H21" s="26"/>
      <c r="I21" s="26"/>
      <c r="J21" s="26"/>
      <c r="K21" s="26"/>
      <c r="L21" s="45"/>
      <c r="M21" s="26"/>
      <c r="N21" s="26"/>
      <c r="O21" s="26"/>
      <c r="P21" s="26"/>
      <c r="Q21" s="26"/>
      <c r="R21" s="26"/>
      <c r="S21" s="26"/>
    </row>
    <row r="22" spans="1:21" x14ac:dyDescent="0.25">
      <c r="A22" s="2"/>
      <c r="B22" s="20">
        <v>4501</v>
      </c>
      <c r="C22" t="s">
        <v>104</v>
      </c>
      <c r="D22" s="17"/>
      <c r="E22" s="24">
        <v>3600</v>
      </c>
      <c r="F22" s="26"/>
      <c r="G22" s="26">
        <f>'Mapping Data'!C27</f>
        <v>2400</v>
      </c>
      <c r="H22" s="26"/>
      <c r="I22" s="26">
        <f>'Mapping Data'!B27</f>
        <v>2740.94</v>
      </c>
      <c r="J22" s="26"/>
      <c r="K22" s="26">
        <f>I22-G22</f>
        <v>340.94000000000005</v>
      </c>
      <c r="L22" s="45"/>
      <c r="M22" s="192" t="s">
        <v>517</v>
      </c>
      <c r="N22" s="193"/>
      <c r="O22" s="198">
        <f>IF(M22="Average of YTD",I22/$X$4*$Y$4)+IF(M22="Budget",E22-I22)+IF(M22="Hard coded - Actual TY Projection",N22-I22)+IF(M22="Hard coded - Remaining Year Projection",N22)+IF(M22="Payroll 12 months",I22/$X$10*Y$10)+IF(M22="Payroll 11 months",I22/$X$10*$Y$10)+IF(M22="Zero","0.00")+IF(M22="Clearing",-I22)</f>
        <v>1370.47</v>
      </c>
      <c r="P22" s="26"/>
      <c r="Q22" s="26">
        <f>O22+I22</f>
        <v>4111.41</v>
      </c>
      <c r="R22" s="26"/>
      <c r="S22" s="26">
        <f>Q22-E22</f>
        <v>511.40999999999985</v>
      </c>
      <c r="U22" s="94" t="s">
        <v>456</v>
      </c>
    </row>
    <row r="23" spans="1:21" x14ac:dyDescent="0.25">
      <c r="A23" s="2"/>
      <c r="B23" s="20"/>
      <c r="C23" s="3" t="s">
        <v>7</v>
      </c>
      <c r="D23" s="3"/>
      <c r="E23" s="27">
        <f>E22</f>
        <v>3600</v>
      </c>
      <c r="F23" s="24"/>
      <c r="G23" s="27">
        <f t="shared" ref="G23:S23" si="13">G22</f>
        <v>2400</v>
      </c>
      <c r="H23" s="24"/>
      <c r="I23" s="27">
        <f t="shared" si="13"/>
        <v>2740.94</v>
      </c>
      <c r="J23" s="24"/>
      <c r="K23" s="27">
        <f t="shared" si="13"/>
        <v>340.94000000000005</v>
      </c>
      <c r="L23" s="41">
        <f t="shared" si="13"/>
        <v>0</v>
      </c>
      <c r="M23" s="27"/>
      <c r="N23" s="27"/>
      <c r="O23" s="27">
        <f t="shared" si="13"/>
        <v>1370.47</v>
      </c>
      <c r="P23" s="24"/>
      <c r="Q23" s="27">
        <f t="shared" si="13"/>
        <v>4111.41</v>
      </c>
      <c r="R23" s="24"/>
      <c r="S23" s="27">
        <f t="shared" si="13"/>
        <v>511.40999999999985</v>
      </c>
    </row>
    <row r="24" spans="1:21" ht="45.75" customHeight="1" x14ac:dyDescent="0.25">
      <c r="A24" s="8"/>
      <c r="B24" s="12"/>
      <c r="C24" s="28" t="s">
        <v>15</v>
      </c>
      <c r="D24" s="28"/>
      <c r="E24" s="33">
        <f>E23+E16+E10+E20</f>
        <v>4736325</v>
      </c>
      <c r="F24" s="25"/>
      <c r="G24" s="33">
        <f>G23+G16+G10+G20</f>
        <v>3172439</v>
      </c>
      <c r="H24" s="25"/>
      <c r="I24" s="33">
        <f>I23+I16+I10+I20</f>
        <v>3237924.58</v>
      </c>
      <c r="J24" s="25"/>
      <c r="K24" s="33">
        <f>K23+K16+K10+K20</f>
        <v>65485.580000000147</v>
      </c>
      <c r="L24" s="42">
        <f>L23+L16+L10</f>
        <v>0</v>
      </c>
      <c r="M24" s="33"/>
      <c r="N24" s="33"/>
      <c r="O24" s="33">
        <f>O23+O16+O10+O20</f>
        <v>1953471.583333333</v>
      </c>
      <c r="P24" s="25"/>
      <c r="Q24" s="33">
        <f>Q23+Q16+Q10+Q20</f>
        <v>5191396.1633333331</v>
      </c>
      <c r="R24" s="25"/>
      <c r="S24" s="33">
        <f>S23+S16+S10+S20</f>
        <v>455071.16333333327</v>
      </c>
      <c r="U24" s="94" t="s">
        <v>558</v>
      </c>
    </row>
    <row r="25" spans="1:21" ht="15.75" x14ac:dyDescent="0.25">
      <c r="A25" s="21"/>
      <c r="B25" s="20"/>
      <c r="C25" s="6"/>
      <c r="D25" s="6"/>
      <c r="E25" s="25"/>
      <c r="F25" s="26"/>
      <c r="G25" s="26"/>
      <c r="H25" s="26"/>
      <c r="I25" s="26"/>
      <c r="J25" s="26"/>
      <c r="K25" s="26"/>
      <c r="L25" s="45"/>
      <c r="M25" s="26"/>
      <c r="N25" s="26"/>
      <c r="O25" s="26"/>
      <c r="P25" s="26"/>
      <c r="Q25" s="26"/>
      <c r="R25" s="26"/>
      <c r="S25" s="26"/>
    </row>
    <row r="26" spans="1:21" ht="15.75" x14ac:dyDescent="0.25">
      <c r="A26" s="228" t="s">
        <v>106</v>
      </c>
      <c r="B26" s="228"/>
      <c r="C26" s="228"/>
      <c r="D26" s="30"/>
      <c r="E26" s="24"/>
      <c r="F26" s="26"/>
      <c r="G26" s="26"/>
      <c r="H26" s="26"/>
      <c r="I26" s="26"/>
      <c r="J26" s="26"/>
      <c r="K26" s="26" t="s">
        <v>0</v>
      </c>
      <c r="L26" s="45"/>
      <c r="M26" s="26"/>
      <c r="N26" s="26"/>
      <c r="O26" s="26"/>
      <c r="P26" s="26"/>
      <c r="Q26" s="26"/>
      <c r="R26" s="26"/>
      <c r="S26" s="26"/>
    </row>
    <row r="27" spans="1:21" x14ac:dyDescent="0.25">
      <c r="A27" s="5" t="s">
        <v>16</v>
      </c>
      <c r="B27" s="20"/>
      <c r="C27" s="4"/>
      <c r="D27" s="4"/>
      <c r="E27" s="24"/>
      <c r="F27" s="26"/>
      <c r="G27" s="26"/>
      <c r="H27" s="26"/>
      <c r="I27" s="26" t="s">
        <v>0</v>
      </c>
      <c r="J27" s="26"/>
      <c r="K27" s="26"/>
      <c r="L27" s="45"/>
      <c r="M27" s="26"/>
      <c r="N27" s="26"/>
      <c r="O27" s="26"/>
      <c r="P27" s="26"/>
      <c r="Q27" s="26"/>
      <c r="R27" s="26"/>
      <c r="S27" s="26"/>
    </row>
    <row r="28" spans="1:21" x14ac:dyDescent="0.25">
      <c r="A28" s="22" t="s">
        <v>17</v>
      </c>
      <c r="B28" s="18"/>
      <c r="C28" s="18"/>
      <c r="D28" s="18"/>
      <c r="E28" s="24"/>
      <c r="F28" s="26"/>
      <c r="G28" s="26"/>
      <c r="H28" s="26"/>
      <c r="I28" s="26"/>
      <c r="J28" s="26"/>
      <c r="K28" s="26"/>
      <c r="L28" s="45"/>
      <c r="M28" s="26"/>
      <c r="N28" s="26"/>
      <c r="O28" s="26"/>
      <c r="P28" s="26"/>
      <c r="Q28" s="26"/>
      <c r="R28" s="26"/>
      <c r="S28" s="26"/>
    </row>
    <row r="29" spans="1:21" outlineLevel="1" x14ac:dyDescent="0.25">
      <c r="A29" s="2"/>
      <c r="B29" s="20">
        <v>5101</v>
      </c>
      <c r="C29" s="13" t="s">
        <v>42</v>
      </c>
      <c r="D29" s="13"/>
      <c r="E29" s="24">
        <v>-190000</v>
      </c>
      <c r="F29" s="26"/>
      <c r="G29" s="26">
        <f>'Mapping Data'!G34</f>
        <v>-126664</v>
      </c>
      <c r="H29" s="26"/>
      <c r="I29" s="26">
        <f>'Mapping Data'!F34</f>
        <v>-143750.04999999999</v>
      </c>
      <c r="J29" s="26"/>
      <c r="K29" s="26">
        <f>I29-G29</f>
        <v>-17086.049999999988</v>
      </c>
      <c r="L29" s="45"/>
      <c r="M29" s="192" t="s">
        <v>518</v>
      </c>
      <c r="N29" s="199">
        <f>(-7917*2)*4</f>
        <v>-63336</v>
      </c>
      <c r="O29" s="198">
        <f>IF(M29="Average of YTD",I29/$X$4*$Y$4)+IF(M29="Budget",E29-I29)+IF(M29="Hard coded - Actual TY Projection",N29-I29)+IF(M29="Hard coded - Remaining Year Projection",N29)+IF(M29="Payroll 12 months",I29/$X$10*Y$10)+IF(M29="Payroll 11 months",I29/$X$10*$Y$10)+IF(M29="Zero","0.00")+IF(M29="Clearing",-I29)</f>
        <v>-63336</v>
      </c>
      <c r="P29" s="26"/>
      <c r="Q29" s="26">
        <f t="shared" ref="Q29:Q35" si="14">O29+I29</f>
        <v>-207086.05</v>
      </c>
      <c r="R29" s="26"/>
      <c r="S29" s="26">
        <f>Q29-E29</f>
        <v>-17086.049999999988</v>
      </c>
      <c r="U29" s="94" t="s">
        <v>429</v>
      </c>
    </row>
    <row r="30" spans="1:21" outlineLevel="1" x14ac:dyDescent="0.25">
      <c r="A30" s="2"/>
      <c r="B30" s="20">
        <v>5102</v>
      </c>
      <c r="C30" s="13" t="s">
        <v>43</v>
      </c>
      <c r="D30" s="13"/>
      <c r="E30" s="24">
        <v>-81600</v>
      </c>
      <c r="F30" s="26"/>
      <c r="G30" s="26">
        <f>'Mapping Data'!G35</f>
        <v>-54400</v>
      </c>
      <c r="H30" s="26"/>
      <c r="I30" s="26">
        <f>'Mapping Data'!F35</f>
        <v>-54400</v>
      </c>
      <c r="J30" s="26"/>
      <c r="K30" s="26">
        <f t="shared" ref="K30:K35" si="15">I30-G30</f>
        <v>0</v>
      </c>
      <c r="L30" s="45"/>
      <c r="M30" s="192" t="s">
        <v>520</v>
      </c>
      <c r="N30" s="193"/>
      <c r="O30" s="198">
        <f t="shared" ref="O30:O35" si="16">IF(M30="Average of YTD",I30/$X$4*$Y$4)+IF(M30="Budget",E30-I30)+IF(M30="Hard coded - Actual TY Projection",N30-I30)+IF(M30="Hard coded - Remaining Year Projection",N30)+IF(M30="Payroll 12 months",I30/$X$7*Y$7)+IF(M30="Payroll 11 months",I30/$X$10*$Y$10)+IF(M30="Zero","0.00")+IF(M30="Clearing",-I30)</f>
        <v>-27200</v>
      </c>
      <c r="P30" s="26"/>
      <c r="Q30" s="26">
        <f t="shared" si="14"/>
        <v>-81600</v>
      </c>
      <c r="R30" s="26"/>
      <c r="S30" s="26">
        <f t="shared" ref="S30:S35" si="17">Q30-E30</f>
        <v>0</v>
      </c>
      <c r="U30" s="94" t="s">
        <v>209</v>
      </c>
    </row>
    <row r="31" spans="1:21" outlineLevel="1" x14ac:dyDescent="0.25">
      <c r="A31" s="2"/>
      <c r="B31" s="20">
        <v>5103</v>
      </c>
      <c r="C31" s="13" t="s">
        <v>44</v>
      </c>
      <c r="D31" s="13"/>
      <c r="E31" s="24">
        <v>-79200</v>
      </c>
      <c r="F31" s="26"/>
      <c r="G31" s="26">
        <f>'Mapping Data'!G36</f>
        <v>-52800</v>
      </c>
      <c r="H31" s="26"/>
      <c r="I31" s="26">
        <f>'Mapping Data'!F36</f>
        <v>-53000</v>
      </c>
      <c r="J31" s="26"/>
      <c r="K31" s="26">
        <f t="shared" si="15"/>
        <v>-200</v>
      </c>
      <c r="L31" s="45"/>
      <c r="M31" s="192" t="s">
        <v>520</v>
      </c>
      <c r="N31" s="193"/>
      <c r="O31" s="198">
        <f t="shared" si="16"/>
        <v>-26500</v>
      </c>
      <c r="P31" s="26"/>
      <c r="Q31" s="26">
        <f t="shared" si="14"/>
        <v>-79500</v>
      </c>
      <c r="R31" s="26"/>
      <c r="S31" s="26">
        <f t="shared" si="17"/>
        <v>-300</v>
      </c>
      <c r="U31" s="94" t="s">
        <v>209</v>
      </c>
    </row>
    <row r="32" spans="1:21" outlineLevel="1" x14ac:dyDescent="0.25">
      <c r="A32" s="2"/>
      <c r="B32" s="20">
        <v>5105</v>
      </c>
      <c r="C32" s="13" t="s">
        <v>45</v>
      </c>
      <c r="D32" s="13"/>
      <c r="E32" s="24">
        <v>-63240</v>
      </c>
      <c r="F32" s="26"/>
      <c r="G32" s="26">
        <f>'Mapping Data'!G37</f>
        <v>-42160</v>
      </c>
      <c r="H32" s="26"/>
      <c r="I32" s="26">
        <f>'Mapping Data'!F37</f>
        <v>-4422.34</v>
      </c>
      <c r="J32" s="26"/>
      <c r="K32" s="26">
        <f t="shared" si="15"/>
        <v>37737.660000000003</v>
      </c>
      <c r="L32" s="45"/>
      <c r="M32" s="192" t="s">
        <v>519</v>
      </c>
      <c r="N32" s="193"/>
      <c r="O32" s="198">
        <f t="shared" si="16"/>
        <v>0</v>
      </c>
      <c r="P32" s="26"/>
      <c r="Q32" s="26">
        <f t="shared" si="14"/>
        <v>-4422.34</v>
      </c>
      <c r="R32" s="26"/>
      <c r="S32" s="26">
        <f t="shared" si="17"/>
        <v>58817.66</v>
      </c>
      <c r="U32" s="94" t="s">
        <v>428</v>
      </c>
    </row>
    <row r="33" spans="1:21" ht="30" outlineLevel="1" x14ac:dyDescent="0.25">
      <c r="A33" s="2"/>
      <c r="B33" s="20">
        <v>5106</v>
      </c>
      <c r="C33" s="13" t="s">
        <v>46</v>
      </c>
      <c r="D33" s="13"/>
      <c r="E33" s="24">
        <v>-38850</v>
      </c>
      <c r="F33" s="26"/>
      <c r="G33" s="26">
        <f>'Mapping Data'!G38</f>
        <v>-25904</v>
      </c>
      <c r="H33" s="26"/>
      <c r="I33" s="26">
        <f>'Mapping Data'!F38</f>
        <v>-21043.75</v>
      </c>
      <c r="J33" s="26"/>
      <c r="K33" s="26">
        <f t="shared" si="15"/>
        <v>4860.25</v>
      </c>
      <c r="L33" s="45"/>
      <c r="M33" s="192" t="s">
        <v>518</v>
      </c>
      <c r="N33" s="199">
        <f>(-1618.75*2)*4</f>
        <v>-12950</v>
      </c>
      <c r="O33" s="198">
        <f t="shared" si="16"/>
        <v>-12950</v>
      </c>
      <c r="P33" s="26"/>
      <c r="Q33" s="26">
        <f t="shared" si="14"/>
        <v>-33993.75</v>
      </c>
      <c r="R33" s="26"/>
      <c r="S33" s="26">
        <f t="shared" si="17"/>
        <v>4856.25</v>
      </c>
      <c r="U33" s="94" t="s">
        <v>490</v>
      </c>
    </row>
    <row r="34" spans="1:21" outlineLevel="1" x14ac:dyDescent="0.25">
      <c r="A34" s="2"/>
      <c r="B34" s="20">
        <v>5107</v>
      </c>
      <c r="C34" s="13" t="s">
        <v>47</v>
      </c>
      <c r="D34" s="13"/>
      <c r="E34" s="24">
        <v>-65720</v>
      </c>
      <c r="F34" s="26"/>
      <c r="G34" s="26">
        <f>'Mapping Data'!G39</f>
        <v>-43816</v>
      </c>
      <c r="H34" s="26"/>
      <c r="I34" s="26">
        <f>'Mapping Data'!F39</f>
        <v>-43813.279999999999</v>
      </c>
      <c r="J34" s="26"/>
      <c r="K34" s="26">
        <f t="shared" si="15"/>
        <v>2.7200000000011642</v>
      </c>
      <c r="L34" s="45"/>
      <c r="M34" s="192" t="s">
        <v>520</v>
      </c>
      <c r="N34" s="193"/>
      <c r="O34" s="198">
        <f t="shared" si="16"/>
        <v>-21906.639999999999</v>
      </c>
      <c r="P34" s="26"/>
      <c r="Q34" s="26">
        <f t="shared" si="14"/>
        <v>-65719.92</v>
      </c>
      <c r="R34" s="26"/>
      <c r="S34" s="26">
        <f t="shared" si="17"/>
        <v>8.000000000174623E-2</v>
      </c>
      <c r="U34" s="94" t="s">
        <v>209</v>
      </c>
    </row>
    <row r="35" spans="1:21" outlineLevel="1" x14ac:dyDescent="0.25">
      <c r="A35" s="2"/>
      <c r="B35" s="20">
        <v>5109</v>
      </c>
      <c r="C35" s="13" t="s">
        <v>48</v>
      </c>
      <c r="D35" s="13"/>
      <c r="E35" s="24">
        <v>-326607</v>
      </c>
      <c r="F35" s="26"/>
      <c r="G35" s="26">
        <f>'Mapping Data'!G40</f>
        <v>-217736</v>
      </c>
      <c r="H35" s="26"/>
      <c r="I35" s="26">
        <f>'Mapping Data'!F40</f>
        <v>-217678.47</v>
      </c>
      <c r="J35" s="26"/>
      <c r="K35" s="26">
        <f t="shared" si="15"/>
        <v>57.529999999998836</v>
      </c>
      <c r="L35" s="45"/>
      <c r="M35" s="192" t="s">
        <v>520</v>
      </c>
      <c r="N35" s="193"/>
      <c r="O35" s="198">
        <f t="shared" si="16"/>
        <v>-108839.235</v>
      </c>
      <c r="P35" s="26"/>
      <c r="Q35" s="26">
        <f t="shared" si="14"/>
        <v>-326517.70500000002</v>
      </c>
      <c r="R35" s="26"/>
      <c r="S35" s="26">
        <f t="shared" si="17"/>
        <v>89.294999999983702</v>
      </c>
      <c r="U35" s="94" t="s">
        <v>209</v>
      </c>
    </row>
    <row r="36" spans="1:21" x14ac:dyDescent="0.25">
      <c r="A36" s="2"/>
      <c r="B36" s="20"/>
      <c r="C36" s="11" t="s">
        <v>7</v>
      </c>
      <c r="D36" s="11"/>
      <c r="E36" s="27">
        <f>SUM(E28:E35)</f>
        <v>-845217</v>
      </c>
      <c r="F36" s="26"/>
      <c r="G36" s="27">
        <f>SUM(G28:G35)</f>
        <v>-563480</v>
      </c>
      <c r="H36" s="24"/>
      <c r="I36" s="27">
        <f>SUM(I28:I35)</f>
        <v>-538107.89</v>
      </c>
      <c r="J36" s="24"/>
      <c r="K36" s="27">
        <f>SUM(K28:K35)</f>
        <v>25372.110000000015</v>
      </c>
      <c r="L36" s="41">
        <f>SUM(L28:L35)</f>
        <v>0</v>
      </c>
      <c r="M36" s="27"/>
      <c r="N36" s="27"/>
      <c r="O36" s="27">
        <f>SUM(O28:O35)</f>
        <v>-260731.875</v>
      </c>
      <c r="P36" s="24"/>
      <c r="Q36" s="27">
        <f>SUM(Q28:Q35)</f>
        <v>-798839.76500000001</v>
      </c>
      <c r="R36" s="24"/>
      <c r="S36" s="27">
        <f>SUM(S28:S35)</f>
        <v>46377.235000000001</v>
      </c>
      <c r="U36" s="94" t="s">
        <v>0</v>
      </c>
    </row>
    <row r="37" spans="1:21" x14ac:dyDescent="0.25">
      <c r="A37" s="22" t="s">
        <v>18</v>
      </c>
      <c r="B37" s="18"/>
      <c r="C37" s="18"/>
      <c r="D37" s="18"/>
      <c r="E37" s="24"/>
      <c r="F37" s="26"/>
      <c r="G37" s="26"/>
      <c r="H37" s="26"/>
      <c r="I37" s="26"/>
      <c r="J37" s="26"/>
      <c r="K37" s="26"/>
      <c r="L37" s="45"/>
      <c r="M37" s="26"/>
      <c r="N37" s="26"/>
      <c r="O37" s="26"/>
      <c r="P37" s="26"/>
      <c r="Q37" s="26"/>
      <c r="R37" s="26"/>
      <c r="S37" s="26"/>
      <c r="U37" s="94" t="s">
        <v>0</v>
      </c>
    </row>
    <row r="38" spans="1:21" outlineLevel="1" x14ac:dyDescent="0.25">
      <c r="A38" s="2"/>
      <c r="B38" s="20">
        <v>5201</v>
      </c>
      <c r="C38" s="13" t="s">
        <v>49</v>
      </c>
      <c r="D38" s="13"/>
      <c r="E38" s="24">
        <v>-333763</v>
      </c>
      <c r="F38" s="26"/>
      <c r="G38" s="26">
        <f>'Mapping Data'!G43</f>
        <v>-194698</v>
      </c>
      <c r="H38" s="26"/>
      <c r="I38" s="26">
        <f>'Mapping Data'!F43</f>
        <v>0</v>
      </c>
      <c r="J38" s="26"/>
      <c r="K38" s="26">
        <f t="shared" ref="K38:K47" si="18">I38-G38</f>
        <v>194698</v>
      </c>
      <c r="L38" s="45"/>
      <c r="M38" s="192" t="s">
        <v>519</v>
      </c>
      <c r="N38" s="193"/>
      <c r="O38" s="198">
        <f t="shared" ref="O38:O46" si="19">IF(M38="Average of YTD",I38/$X$4*$Y$4)+IF(M38="Budget",E38-I38)+IF(M38="Hard coded - Actual TY Projection",N38-I38)+IF(M38="Hard coded - Remaining Year Projection",N38)+IF(M38="Payroll 12 months",I38/$X$7*Y$7)+IF(M38="Payroll 11 months",I38/$X$10*$Y$10)+IF(M38="Zero","0.00")+IF(M38="Clearing",-I38)</f>
        <v>0</v>
      </c>
      <c r="P38" s="26"/>
      <c r="Q38" s="26">
        <f t="shared" ref="Q38:Q46" si="20">O38+I38</f>
        <v>0</v>
      </c>
      <c r="R38" s="26"/>
      <c r="S38" s="26">
        <f t="shared" ref="S38:S46" si="21">Q38-E38</f>
        <v>333763</v>
      </c>
      <c r="U38" s="94" t="s">
        <v>457</v>
      </c>
    </row>
    <row r="39" spans="1:21" outlineLevel="1" x14ac:dyDescent="0.25">
      <c r="A39" s="2"/>
      <c r="B39" s="20">
        <v>5202</v>
      </c>
      <c r="C39" s="13" t="s">
        <v>50</v>
      </c>
      <c r="D39" s="13"/>
      <c r="E39" s="24">
        <v>-382336</v>
      </c>
      <c r="F39" s="26"/>
      <c r="G39" s="26">
        <f>'Mapping Data'!G44</f>
        <v>-223027</v>
      </c>
      <c r="H39" s="26"/>
      <c r="I39" s="26">
        <f>'Mapping Data'!F44</f>
        <v>-283297.7</v>
      </c>
      <c r="J39" s="26"/>
      <c r="K39" s="26">
        <f t="shared" si="18"/>
        <v>-60270.700000000012</v>
      </c>
      <c r="L39" s="45"/>
      <c r="M39" s="192" t="s">
        <v>526</v>
      </c>
      <c r="N39" s="193"/>
      <c r="O39" s="198">
        <f t="shared" si="19"/>
        <v>-202355.5</v>
      </c>
      <c r="P39" s="26"/>
      <c r="Q39" s="26">
        <f t="shared" si="20"/>
        <v>-485653.2</v>
      </c>
      <c r="R39" s="26"/>
      <c r="S39" s="26">
        <f t="shared" si="21"/>
        <v>-103317.20000000001</v>
      </c>
      <c r="U39" s="94" t="s">
        <v>209</v>
      </c>
    </row>
    <row r="40" spans="1:21" ht="60" outlineLevel="1" x14ac:dyDescent="0.25">
      <c r="A40" s="2"/>
      <c r="B40" s="20">
        <v>5203</v>
      </c>
      <c r="C40" s="13" t="s">
        <v>51</v>
      </c>
      <c r="D40" s="13"/>
      <c r="E40" s="24">
        <v>-264459</v>
      </c>
      <c r="F40" s="26"/>
      <c r="G40" s="26">
        <f>'Mapping Data'!G45</f>
        <v>-154266</v>
      </c>
      <c r="H40" s="26"/>
      <c r="I40" s="26">
        <f>'Mapping Data'!F45</f>
        <v>-233541.39</v>
      </c>
      <c r="J40" s="26"/>
      <c r="K40" s="26">
        <f t="shared" si="18"/>
        <v>-79275.390000000014</v>
      </c>
      <c r="L40" s="45"/>
      <c r="M40" s="192" t="s">
        <v>518</v>
      </c>
      <c r="N40" s="199">
        <f>(-16402.11*2)*5</f>
        <v>-164021.1</v>
      </c>
      <c r="O40" s="198">
        <f t="shared" si="19"/>
        <v>-164021.1</v>
      </c>
      <c r="P40" s="26"/>
      <c r="Q40" s="26">
        <f t="shared" si="20"/>
        <v>-397562.49</v>
      </c>
      <c r="R40" s="26"/>
      <c r="S40" s="26">
        <f t="shared" si="21"/>
        <v>-133103.49</v>
      </c>
      <c r="U40" s="94" t="s">
        <v>492</v>
      </c>
    </row>
    <row r="41" spans="1:21" outlineLevel="1" x14ac:dyDescent="0.25">
      <c r="A41" s="2"/>
      <c r="B41" s="20">
        <v>5204</v>
      </c>
      <c r="C41" s="13" t="s">
        <v>52</v>
      </c>
      <c r="D41" s="13"/>
      <c r="E41" s="24">
        <v>-147838</v>
      </c>
      <c r="F41" s="26"/>
      <c r="G41" s="26">
        <f>'Mapping Data'!G46</f>
        <v>-86240</v>
      </c>
      <c r="H41" s="26"/>
      <c r="I41" s="26">
        <f>'Mapping Data'!F46</f>
        <v>-86238.88</v>
      </c>
      <c r="J41" s="26"/>
      <c r="K41" s="26">
        <f t="shared" si="18"/>
        <v>1.1199999999953434</v>
      </c>
      <c r="L41" s="45"/>
      <c r="M41" s="192" t="s">
        <v>526</v>
      </c>
      <c r="N41" s="193"/>
      <c r="O41" s="198">
        <f t="shared" si="19"/>
        <v>-61599.199999999997</v>
      </c>
      <c r="P41" s="26"/>
      <c r="Q41" s="26">
        <f t="shared" si="20"/>
        <v>-147838.08000000002</v>
      </c>
      <c r="R41" s="26"/>
      <c r="S41" s="26">
        <f t="shared" si="21"/>
        <v>-8.0000000016298145E-2</v>
      </c>
      <c r="U41" s="94" t="s">
        <v>209</v>
      </c>
    </row>
    <row r="42" spans="1:21" outlineLevel="1" x14ac:dyDescent="0.25">
      <c r="A42" s="2"/>
      <c r="B42" s="20">
        <v>5205</v>
      </c>
      <c r="C42" s="13" t="s">
        <v>53</v>
      </c>
      <c r="D42" s="13"/>
      <c r="E42" s="24">
        <v>-57846</v>
      </c>
      <c r="F42" s="26"/>
      <c r="G42" s="26">
        <f>'Mapping Data'!G47</f>
        <v>-33747</v>
      </c>
      <c r="H42" s="26"/>
      <c r="I42" s="26">
        <f>'Mapping Data'!F47</f>
        <v>-152650.96</v>
      </c>
      <c r="J42" s="26"/>
      <c r="K42" s="26">
        <f t="shared" si="18"/>
        <v>-118903.95999999999</v>
      </c>
      <c r="L42" s="45"/>
      <c r="M42" s="192" t="s">
        <v>526</v>
      </c>
      <c r="N42" s="193"/>
      <c r="O42" s="198">
        <f t="shared" si="19"/>
        <v>-109036.4</v>
      </c>
      <c r="P42" s="26"/>
      <c r="Q42" s="26">
        <f t="shared" si="20"/>
        <v>-261687.36</v>
      </c>
      <c r="R42" s="26"/>
      <c r="S42" s="26">
        <f t="shared" si="21"/>
        <v>-203841.36</v>
      </c>
      <c r="U42" s="94" t="s">
        <v>209</v>
      </c>
    </row>
    <row r="43" spans="1:21" ht="48.75" customHeight="1" outlineLevel="1" x14ac:dyDescent="0.25">
      <c r="A43" s="2"/>
      <c r="B43" s="20">
        <v>5206</v>
      </c>
      <c r="C43" s="13" t="s">
        <v>54</v>
      </c>
      <c r="D43" s="13"/>
      <c r="E43" s="24">
        <v>-210737</v>
      </c>
      <c r="F43" s="26"/>
      <c r="G43" s="26">
        <f>'Mapping Data'!G48</f>
        <v>-122927</v>
      </c>
      <c r="H43" s="26"/>
      <c r="I43" s="26">
        <f>'Mapping Data'!F48</f>
        <v>-115625.69</v>
      </c>
      <c r="J43" s="26"/>
      <c r="K43" s="26">
        <f t="shared" si="18"/>
        <v>7301.3099999999977</v>
      </c>
      <c r="L43" s="45"/>
      <c r="M43" s="192" t="s">
        <v>518</v>
      </c>
      <c r="N43" s="199">
        <f>((-6346*2)*5)</f>
        <v>-63460</v>
      </c>
      <c r="O43" s="198">
        <f t="shared" si="19"/>
        <v>-63460</v>
      </c>
      <c r="P43" s="26"/>
      <c r="Q43" s="26">
        <f t="shared" si="20"/>
        <v>-179085.69</v>
      </c>
      <c r="R43" s="26"/>
      <c r="S43" s="26">
        <f t="shared" si="21"/>
        <v>31651.309999999998</v>
      </c>
      <c r="U43" s="94" t="s">
        <v>534</v>
      </c>
    </row>
    <row r="44" spans="1:21" outlineLevel="1" x14ac:dyDescent="0.25">
      <c r="A44" s="2"/>
      <c r="B44" s="20">
        <v>5207</v>
      </c>
      <c r="C44" s="13" t="s">
        <v>55</v>
      </c>
      <c r="D44" s="13"/>
      <c r="E44" s="24">
        <v>-161440</v>
      </c>
      <c r="F44" s="26"/>
      <c r="G44" s="26">
        <f>'Mapping Data'!G49</f>
        <v>-94171</v>
      </c>
      <c r="H44" s="26"/>
      <c r="I44" s="26">
        <f>'Mapping Data'!F49</f>
        <v>-57626.720000000001</v>
      </c>
      <c r="J44" s="26"/>
      <c r="K44" s="26">
        <f t="shared" si="18"/>
        <v>36544.28</v>
      </c>
      <c r="L44" s="45"/>
      <c r="M44" s="192" t="s">
        <v>520</v>
      </c>
      <c r="N44" s="193"/>
      <c r="O44" s="198">
        <f t="shared" si="19"/>
        <v>-28813.360000000001</v>
      </c>
      <c r="P44" s="26"/>
      <c r="Q44" s="26">
        <f t="shared" si="20"/>
        <v>-86440.08</v>
      </c>
      <c r="R44" s="26"/>
      <c r="S44" s="26">
        <f t="shared" si="21"/>
        <v>74999.92</v>
      </c>
      <c r="U44" s="94" t="s">
        <v>430</v>
      </c>
    </row>
    <row r="45" spans="1:21" outlineLevel="1" x14ac:dyDescent="0.25">
      <c r="A45" s="2"/>
      <c r="B45" s="20">
        <v>5208</v>
      </c>
      <c r="C45" s="13" t="s">
        <v>56</v>
      </c>
      <c r="D45" s="13"/>
      <c r="E45" s="24">
        <v>-75000</v>
      </c>
      <c r="F45" s="26"/>
      <c r="G45" s="26">
        <f>'Mapping Data'!G50</f>
        <v>-43750</v>
      </c>
      <c r="H45" s="26"/>
      <c r="I45" s="26">
        <f>'Mapping Data'!F50</f>
        <v>-42203.56</v>
      </c>
      <c r="J45" s="26"/>
      <c r="K45" s="26">
        <f t="shared" si="18"/>
        <v>1546.4400000000023</v>
      </c>
      <c r="L45" s="45"/>
      <c r="M45" s="192" t="s">
        <v>518</v>
      </c>
      <c r="N45" s="199">
        <f>(-3015*2)*5</f>
        <v>-30150</v>
      </c>
      <c r="O45" s="198">
        <f t="shared" si="19"/>
        <v>-30150</v>
      </c>
      <c r="P45" s="26"/>
      <c r="Q45" s="26">
        <f t="shared" si="20"/>
        <v>-72353.56</v>
      </c>
      <c r="R45" s="26"/>
      <c r="S45" s="26">
        <f t="shared" si="21"/>
        <v>2646.4400000000023</v>
      </c>
      <c r="U45" s="94" t="s">
        <v>209</v>
      </c>
    </row>
    <row r="46" spans="1:21" outlineLevel="1" x14ac:dyDescent="0.25">
      <c r="A46" s="2"/>
      <c r="B46" s="20">
        <v>5209</v>
      </c>
      <c r="C46" s="13" t="s">
        <v>57</v>
      </c>
      <c r="D46" s="13"/>
      <c r="E46" s="24">
        <v>-69427</v>
      </c>
      <c r="F46" s="26"/>
      <c r="G46" s="26">
        <f>'Mapping Data'!G51</f>
        <v>-40502</v>
      </c>
      <c r="H46" s="26"/>
      <c r="I46" s="26">
        <f>'Mapping Data'!F51</f>
        <v>-40499.06</v>
      </c>
      <c r="J46" s="26"/>
      <c r="K46" s="26">
        <f t="shared" si="18"/>
        <v>2.9400000000023283</v>
      </c>
      <c r="L46" s="45"/>
      <c r="M46" s="192" t="s">
        <v>526</v>
      </c>
      <c r="N46" s="193"/>
      <c r="O46" s="198">
        <f t="shared" si="19"/>
        <v>-28927.9</v>
      </c>
      <c r="P46" s="26"/>
      <c r="Q46" s="26">
        <f t="shared" si="20"/>
        <v>-69426.959999999992</v>
      </c>
      <c r="R46" s="26"/>
      <c r="S46" s="26">
        <f t="shared" si="21"/>
        <v>4.0000000008149073E-2</v>
      </c>
      <c r="U46" s="94" t="s">
        <v>209</v>
      </c>
    </row>
    <row r="47" spans="1:21" outlineLevel="1" x14ac:dyDescent="0.25">
      <c r="A47" s="2"/>
      <c r="B47" s="20">
        <v>5210</v>
      </c>
      <c r="C47" s="13" t="s">
        <v>540</v>
      </c>
      <c r="D47" s="13"/>
      <c r="E47" s="24">
        <v>0</v>
      </c>
      <c r="F47" s="26"/>
      <c r="G47" s="26">
        <f>'Mapping Data'!G52</f>
        <v>0</v>
      </c>
      <c r="H47" s="26"/>
      <c r="I47" s="26">
        <f>'Mapping Data'!F52</f>
        <v>-7800</v>
      </c>
      <c r="J47" s="26"/>
      <c r="K47" s="26">
        <f t="shared" si="18"/>
        <v>-7800</v>
      </c>
      <c r="L47" s="45"/>
      <c r="M47" s="192" t="s">
        <v>518</v>
      </c>
      <c r="N47" s="193">
        <f>-(2000*2)*4</f>
        <v>-16000</v>
      </c>
      <c r="O47" s="198">
        <f t="shared" ref="O47" si="22">IF(M47="Average of YTD",I47/$X$4*$Y$4)+IF(M47="Budget",E47-I47)+IF(M47="Hard coded - Actual TY Projection",N47-I47)+IF(M47="Hard coded - Remaining Year Projection",N47)+IF(M47="Payroll 12 months",I47/$X$7*Y$7)+IF(M47="Payroll 11 months",I47/$X$10*$Y$10)+IF(M47="Zero","0.00")+IF(M47="Clearing",-I47)</f>
        <v>-16000</v>
      </c>
      <c r="P47" s="26"/>
      <c r="Q47" s="26">
        <f t="shared" ref="Q47" si="23">O47+I47</f>
        <v>-23800</v>
      </c>
      <c r="R47" s="26"/>
      <c r="S47" s="26">
        <f t="shared" ref="S47" si="24">Q47-E47</f>
        <v>-23800</v>
      </c>
      <c r="U47" s="94" t="s">
        <v>543</v>
      </c>
    </row>
    <row r="48" spans="1:21" x14ac:dyDescent="0.25">
      <c r="A48" s="2"/>
      <c r="B48" s="20"/>
      <c r="C48" s="11" t="s">
        <v>7</v>
      </c>
      <c r="D48" s="11"/>
      <c r="E48" s="27">
        <f>SUM(E38:E47)</f>
        <v>-1702846</v>
      </c>
      <c r="F48" s="26"/>
      <c r="G48" s="27">
        <f>SUM(G38:G47)</f>
        <v>-993328</v>
      </c>
      <c r="H48" s="24"/>
      <c r="I48" s="27">
        <f>SUM(I38:I47)</f>
        <v>-1019483.96</v>
      </c>
      <c r="J48" s="24"/>
      <c r="K48" s="27">
        <f>SUM(K38:K47)</f>
        <v>-26155.960000000021</v>
      </c>
      <c r="L48" s="41">
        <f t="shared" ref="L48" si="25">SUM(L38:L46)</f>
        <v>0</v>
      </c>
      <c r="M48" s="27"/>
      <c r="N48" s="27"/>
      <c r="O48" s="27">
        <f>SUM(O38:O47)</f>
        <v>-704363.46</v>
      </c>
      <c r="P48" s="24"/>
      <c r="Q48" s="27">
        <f>SUM(Q38:Q47)</f>
        <v>-1723847.42</v>
      </c>
      <c r="R48" s="24"/>
      <c r="S48" s="27">
        <f>SUM(S38:S47)</f>
        <v>-21001.42</v>
      </c>
      <c r="U48" s="94" t="s">
        <v>0</v>
      </c>
    </row>
    <row r="49" spans="1:21" x14ac:dyDescent="0.25">
      <c r="A49" s="22" t="s">
        <v>19</v>
      </c>
      <c r="B49" s="18"/>
      <c r="C49" s="18"/>
      <c r="D49" s="18"/>
      <c r="E49" s="24"/>
      <c r="F49" s="26"/>
      <c r="G49" s="26"/>
      <c r="H49" s="26"/>
      <c r="I49" s="26"/>
      <c r="J49" s="26"/>
      <c r="K49" s="26"/>
      <c r="L49" s="45"/>
      <c r="M49" s="26"/>
      <c r="N49" s="26"/>
      <c r="O49" s="26"/>
      <c r="P49" s="26"/>
      <c r="Q49" s="26"/>
      <c r="R49" s="26"/>
      <c r="S49" s="26"/>
    </row>
    <row r="50" spans="1:21" outlineLevel="1" x14ac:dyDescent="0.25">
      <c r="A50" s="2"/>
      <c r="B50" s="20">
        <v>5301</v>
      </c>
      <c r="C50" s="13" t="s">
        <v>58</v>
      </c>
      <c r="D50" s="13"/>
      <c r="E50" s="24">
        <v>-268888</v>
      </c>
      <c r="F50" s="26"/>
      <c r="G50" s="26">
        <f>'Mapping Data'!G55</f>
        <v>-156849</v>
      </c>
      <c r="H50" s="26"/>
      <c r="I50" s="26">
        <f>'Mapping Data'!F55</f>
        <v>-125860.23</v>
      </c>
      <c r="J50" s="26"/>
      <c r="K50" s="26">
        <f t="shared" ref="K50:K54" si="26">I50-G50</f>
        <v>30988.770000000004</v>
      </c>
      <c r="L50" s="45"/>
      <c r="M50" s="192" t="s">
        <v>518</v>
      </c>
      <c r="N50" s="199">
        <f>((-8683.16*2)*5)</f>
        <v>-86831.6</v>
      </c>
      <c r="O50" s="198">
        <f>IF(M50="Average of YTD",I50/$X$4*$Y$4)+IF(M50="Budget",E50-I50)+IF(M50="Hard coded - Actual TY Projection",N50-I50)+IF(M50="Hard coded - Remaining Year Projection",N50)+IF(M50="Payroll 12 months",I50/$X$7*Y$7)+IF(M50="Payroll 11 months",I50/$X$10*$Y$10)+IF(M50="Zero","0.00")+IF(M50="Clearing",-I50)</f>
        <v>-86831.6</v>
      </c>
      <c r="P50" s="26"/>
      <c r="Q50" s="26">
        <f t="shared" ref="Q50:Q54" si="27">O50+I50</f>
        <v>-212691.83000000002</v>
      </c>
      <c r="R50" s="26"/>
      <c r="S50" s="26">
        <f t="shared" ref="S50:S54" si="28">Q50-E50</f>
        <v>56196.169999999984</v>
      </c>
      <c r="U50" s="94" t="s">
        <v>542</v>
      </c>
    </row>
    <row r="51" spans="1:21" outlineLevel="1" x14ac:dyDescent="0.25">
      <c r="A51" s="2"/>
      <c r="B51" s="20">
        <v>5302</v>
      </c>
      <c r="C51" s="13" t="s">
        <v>59</v>
      </c>
      <c r="D51" s="13"/>
      <c r="E51" s="24">
        <v>-71778</v>
      </c>
      <c r="F51" s="26"/>
      <c r="G51" s="26">
        <f>'Mapping Data'!G56</f>
        <v>-41874</v>
      </c>
      <c r="H51" s="26"/>
      <c r="I51" s="26">
        <f>'Mapping Data'!F56</f>
        <v>-41870.5</v>
      </c>
      <c r="J51" s="26"/>
      <c r="K51" s="26">
        <f t="shared" si="26"/>
        <v>3.5</v>
      </c>
      <c r="L51" s="45"/>
      <c r="M51" s="192" t="s">
        <v>526</v>
      </c>
      <c r="N51" s="193"/>
      <c r="O51" s="198">
        <f t="shared" ref="O51:O54" si="29">IF(M51="Average of YTD",I51/$X$4*$Y$4)+IF(M51="Budget",E51-I51)+IF(M51="Hard coded - Actual TY Projection",N51-I51)+IF(M51="Hard coded - Remaining Year Projection",N51)+IF(M51="Payroll 12 months",I51/$X$7*Y$7)+IF(M51="Payroll 11 months",I51/$X$10*$Y$10)+IF(M51="Zero","0.00")+IF(M51="Clearing",-I51)</f>
        <v>-29907.5</v>
      </c>
      <c r="P51" s="26"/>
      <c r="Q51" s="26">
        <f t="shared" si="27"/>
        <v>-71778</v>
      </c>
      <c r="R51" s="26"/>
      <c r="S51" s="26">
        <f t="shared" si="28"/>
        <v>0</v>
      </c>
      <c r="U51" s="94" t="s">
        <v>209</v>
      </c>
    </row>
    <row r="52" spans="1:21" outlineLevel="1" x14ac:dyDescent="0.25">
      <c r="A52" s="2"/>
      <c r="B52" s="20">
        <v>5303</v>
      </c>
      <c r="C52" s="13" t="s">
        <v>60</v>
      </c>
      <c r="D52" s="13"/>
      <c r="E52" s="24">
        <v>-76206</v>
      </c>
      <c r="F52" s="26"/>
      <c r="G52" s="26">
        <f>'Mapping Data'!G57</f>
        <v>-44457</v>
      </c>
      <c r="H52" s="26"/>
      <c r="I52" s="26">
        <f>'Mapping Data'!F57</f>
        <v>-44453.5</v>
      </c>
      <c r="J52" s="26"/>
      <c r="K52" s="26">
        <f t="shared" si="26"/>
        <v>3.5</v>
      </c>
      <c r="L52" s="45"/>
      <c r="M52" s="192" t="s">
        <v>526</v>
      </c>
      <c r="N52" s="193"/>
      <c r="O52" s="198">
        <f t="shared" si="29"/>
        <v>-31752.5</v>
      </c>
      <c r="P52" s="26"/>
      <c r="Q52" s="26">
        <f t="shared" si="27"/>
        <v>-76206</v>
      </c>
      <c r="R52" s="26"/>
      <c r="S52" s="26">
        <f t="shared" si="28"/>
        <v>0</v>
      </c>
      <c r="U52" s="94" t="s">
        <v>209</v>
      </c>
    </row>
    <row r="53" spans="1:21" outlineLevel="1" x14ac:dyDescent="0.25">
      <c r="A53" s="2"/>
      <c r="B53" s="20">
        <v>5304</v>
      </c>
      <c r="C53" s="13" t="s">
        <v>61</v>
      </c>
      <c r="D53" s="13"/>
      <c r="E53" s="24">
        <v>-75094</v>
      </c>
      <c r="F53" s="26"/>
      <c r="G53" s="26">
        <f>'Mapping Data'!G58</f>
        <v>-43806</v>
      </c>
      <c r="H53" s="26"/>
      <c r="I53" s="26">
        <f>'Mapping Data'!F58</f>
        <v>-43804.88</v>
      </c>
      <c r="J53" s="26"/>
      <c r="K53" s="26">
        <f t="shared" si="26"/>
        <v>1.1200000000026193</v>
      </c>
      <c r="L53" s="45"/>
      <c r="M53" s="192" t="s">
        <v>526</v>
      </c>
      <c r="N53" s="193"/>
      <c r="O53" s="198">
        <f t="shared" si="29"/>
        <v>-31289.199999999997</v>
      </c>
      <c r="P53" s="26"/>
      <c r="Q53" s="26">
        <f t="shared" si="27"/>
        <v>-75094.079999999987</v>
      </c>
      <c r="R53" s="26"/>
      <c r="S53" s="26">
        <f t="shared" si="28"/>
        <v>-7.9999999987194315E-2</v>
      </c>
      <c r="U53" s="94" t="s">
        <v>209</v>
      </c>
    </row>
    <row r="54" spans="1:21" outlineLevel="1" x14ac:dyDescent="0.25">
      <c r="A54" s="2"/>
      <c r="B54" s="20">
        <v>5305</v>
      </c>
      <c r="C54" s="13" t="s">
        <v>62</v>
      </c>
      <c r="D54" s="13"/>
      <c r="E54" s="24">
        <v>-75000</v>
      </c>
      <c r="F54" s="26"/>
      <c r="G54" s="26">
        <f>'Mapping Data'!G59</f>
        <v>-43750</v>
      </c>
      <c r="H54" s="26"/>
      <c r="I54" s="26">
        <f>'Mapping Data'!F59</f>
        <v>-43804.88</v>
      </c>
      <c r="J54" s="26"/>
      <c r="K54" s="26">
        <f t="shared" si="26"/>
        <v>-54.879999999997381</v>
      </c>
      <c r="L54" s="45"/>
      <c r="M54" s="192" t="s">
        <v>526</v>
      </c>
      <c r="N54" s="193"/>
      <c r="O54" s="198">
        <f t="shared" si="29"/>
        <v>-31289.199999999997</v>
      </c>
      <c r="P54" s="26"/>
      <c r="Q54" s="26">
        <f t="shared" si="27"/>
        <v>-75094.079999999987</v>
      </c>
      <c r="R54" s="26"/>
      <c r="S54" s="26">
        <f t="shared" si="28"/>
        <v>-94.079999999987194</v>
      </c>
      <c r="U54" s="94" t="s">
        <v>209</v>
      </c>
    </row>
    <row r="55" spans="1:21" x14ac:dyDescent="0.25">
      <c r="A55" s="2"/>
      <c r="B55" s="20"/>
      <c r="C55" s="11" t="s">
        <v>7</v>
      </c>
      <c r="D55" s="11"/>
      <c r="E55" s="27">
        <f>SUM(E50:E54)</f>
        <v>-566966</v>
      </c>
      <c r="F55" s="26"/>
      <c r="G55" s="27">
        <f t="shared" ref="G55:S55" si="30">SUM(G50:G54)</f>
        <v>-330736</v>
      </c>
      <c r="H55" s="24"/>
      <c r="I55" s="27">
        <f t="shared" si="30"/>
        <v>-299793.99</v>
      </c>
      <c r="J55" s="24"/>
      <c r="K55" s="27">
        <f t="shared" si="30"/>
        <v>30942.010000000009</v>
      </c>
      <c r="L55" s="41">
        <f t="shared" si="30"/>
        <v>0</v>
      </c>
      <c r="M55" s="27"/>
      <c r="N55" s="27"/>
      <c r="O55" s="27">
        <f t="shared" si="30"/>
        <v>-211070</v>
      </c>
      <c r="P55" s="24"/>
      <c r="Q55" s="27">
        <f t="shared" si="30"/>
        <v>-510863.99</v>
      </c>
      <c r="R55" s="24"/>
      <c r="S55" s="27">
        <f t="shared" si="30"/>
        <v>56102.010000000009</v>
      </c>
    </row>
    <row r="56" spans="1:21" x14ac:dyDescent="0.25">
      <c r="A56" s="9" t="s">
        <v>108</v>
      </c>
      <c r="B56" s="14"/>
      <c r="C56" s="14"/>
      <c r="D56" s="14"/>
      <c r="E56" s="24"/>
      <c r="F56" s="26"/>
      <c r="G56" s="26"/>
      <c r="H56" s="26"/>
      <c r="I56" s="26"/>
      <c r="J56" s="26"/>
      <c r="K56" s="26"/>
      <c r="L56" s="45"/>
      <c r="M56" s="26"/>
      <c r="N56" s="26"/>
      <c r="O56" s="26"/>
      <c r="P56" s="26"/>
      <c r="Q56" s="26"/>
      <c r="R56" s="26"/>
      <c r="S56" s="26"/>
    </row>
    <row r="57" spans="1:21" outlineLevel="1" x14ac:dyDescent="0.25">
      <c r="A57" s="9"/>
      <c r="B57" s="14">
        <v>5500</v>
      </c>
      <c r="C57" s="14" t="s">
        <v>107</v>
      </c>
      <c r="D57" s="14"/>
      <c r="E57" s="24">
        <v>-75000</v>
      </c>
      <c r="F57" s="26"/>
      <c r="G57" s="26">
        <f>'Mapping Data'!G61</f>
        <v>-43750</v>
      </c>
      <c r="H57" s="26"/>
      <c r="I57" s="26">
        <f>'Mapping Data'!F61</f>
        <v>-35867.18</v>
      </c>
      <c r="J57" s="26"/>
      <c r="K57" s="26">
        <f>I57-G57</f>
        <v>7882.82</v>
      </c>
      <c r="L57" s="45"/>
      <c r="M57" s="192" t="s">
        <v>116</v>
      </c>
      <c r="N57" s="193"/>
      <c r="O57" s="198">
        <f t="shared" ref="O57" si="31">IF(M57="Average of YTD",I57/$X$4*$Y$4)+IF(M57="Budget",E57-I57)+IF(M57="Hard coded - Actual TY Projection",N57-I57)+IF(M57="Hard coded - Remaining Year Projection",N57)+IF(M57="Payroll 12 months",I57/$X$7*Y$7)+IF(M57="Payroll 11 months",I57/$X$10*$Y$10)+IF(M57="Zero","0.00")+IF(M57="Clearing",-I57)</f>
        <v>-39132.82</v>
      </c>
      <c r="P57" s="26"/>
      <c r="Q57" s="26">
        <f>-75000</f>
        <v>-75000</v>
      </c>
      <c r="R57" s="26"/>
      <c r="S57" s="26">
        <f>Q57-E57</f>
        <v>0</v>
      </c>
    </row>
    <row r="58" spans="1:21" x14ac:dyDescent="0.25">
      <c r="A58" s="9"/>
      <c r="B58" s="14"/>
      <c r="C58" s="31" t="s">
        <v>7</v>
      </c>
      <c r="D58" s="31"/>
      <c r="E58" s="27">
        <f>E57</f>
        <v>-75000</v>
      </c>
      <c r="F58" s="26"/>
      <c r="G58" s="27">
        <f t="shared" ref="G58:S58" si="32">G57</f>
        <v>-43750</v>
      </c>
      <c r="H58" s="24"/>
      <c r="I58" s="27">
        <f t="shared" si="32"/>
        <v>-35867.18</v>
      </c>
      <c r="J58" s="24"/>
      <c r="K58" s="27">
        <f t="shared" si="32"/>
        <v>7882.82</v>
      </c>
      <c r="L58" s="41">
        <f t="shared" si="32"/>
        <v>0</v>
      </c>
      <c r="M58" s="27"/>
      <c r="N58" s="27"/>
      <c r="O58" s="27">
        <f t="shared" si="32"/>
        <v>-39132.82</v>
      </c>
      <c r="P58" s="24"/>
      <c r="Q58" s="27">
        <f t="shared" si="32"/>
        <v>-75000</v>
      </c>
      <c r="R58" s="24"/>
      <c r="S58" s="27">
        <f t="shared" si="32"/>
        <v>0</v>
      </c>
    </row>
    <row r="59" spans="1:21" x14ac:dyDescent="0.25">
      <c r="A59" s="9"/>
      <c r="B59" s="14"/>
      <c r="C59" s="31" t="s">
        <v>109</v>
      </c>
      <c r="D59" s="31"/>
      <c r="E59" s="32">
        <f>E58+E55+E48+E36</f>
        <v>-3190029</v>
      </c>
      <c r="F59" s="26"/>
      <c r="G59" s="32">
        <f t="shared" ref="G59:S59" si="33">G58+G55+G48+G36</f>
        <v>-1931294</v>
      </c>
      <c r="H59" s="24"/>
      <c r="I59" s="32">
        <f t="shared" si="33"/>
        <v>-1893253.02</v>
      </c>
      <c r="J59" s="24"/>
      <c r="K59" s="32">
        <f t="shared" si="33"/>
        <v>38040.980000000003</v>
      </c>
      <c r="L59" s="43">
        <f t="shared" si="33"/>
        <v>0</v>
      </c>
      <c r="M59" s="32"/>
      <c r="N59" s="32"/>
      <c r="O59" s="32">
        <f t="shared" si="33"/>
        <v>-1215298.155</v>
      </c>
      <c r="P59" s="24"/>
      <c r="Q59" s="32">
        <f t="shared" si="33"/>
        <v>-3108551.1750000003</v>
      </c>
      <c r="R59" s="24"/>
      <c r="S59" s="32">
        <f t="shared" si="33"/>
        <v>81477.825000000012</v>
      </c>
    </row>
    <row r="60" spans="1:21" x14ac:dyDescent="0.25">
      <c r="A60" s="5" t="s">
        <v>20</v>
      </c>
      <c r="B60" s="20"/>
      <c r="C60" s="4"/>
      <c r="D60" s="4"/>
      <c r="E60" s="24"/>
      <c r="F60" s="26"/>
      <c r="G60" s="26"/>
      <c r="H60" s="26"/>
      <c r="I60" s="26"/>
      <c r="J60" s="26"/>
      <c r="K60" s="26"/>
      <c r="L60" s="45"/>
      <c r="M60" s="26"/>
      <c r="N60" s="26"/>
      <c r="O60" s="26"/>
      <c r="P60" s="26"/>
      <c r="Q60" s="96"/>
      <c r="R60" s="26"/>
      <c r="S60" s="26"/>
    </row>
    <row r="61" spans="1:21" x14ac:dyDescent="0.25">
      <c r="A61" s="2"/>
      <c r="B61" s="20">
        <v>6002</v>
      </c>
      <c r="C61" s="13" t="s">
        <v>21</v>
      </c>
      <c r="D61" s="13"/>
      <c r="E61" s="24">
        <v>-26877</v>
      </c>
      <c r="F61" s="26"/>
      <c r="G61" s="26">
        <f>'Mapping Data'!G64</f>
        <v>-17920</v>
      </c>
      <c r="H61" s="26"/>
      <c r="I61" s="26">
        <f>'Mapping Data'!F64</f>
        <v>-22258.39</v>
      </c>
      <c r="J61" s="26"/>
      <c r="K61" s="26">
        <f t="shared" ref="K61:K77" si="34">I61-G61</f>
        <v>-4338.3899999999994</v>
      </c>
      <c r="L61" s="45"/>
      <c r="M61" s="192" t="s">
        <v>116</v>
      </c>
      <c r="N61" s="193"/>
      <c r="O61" s="198">
        <f t="shared" ref="O61:O65" si="35">IF(M61="Average of YTD",I61/$X$4*$Y$4)+IF(M61="Budget",E61-I61)+IF(M61="Hard coded - Actual TY Projection",N61-I61)+IF(M61="Hard coded - Remaining Year Projection",N61)+IF(M61="Payroll 12 months",I61/$X$7*Y$7)+IF(M61="Payroll 11 months",I61/$X$10*$Y$10)+IF(M61="Zero","0.00")+IF(M61="Clearing",-I61)</f>
        <v>-4618.6100000000006</v>
      </c>
      <c r="P61" s="26"/>
      <c r="Q61" s="26">
        <f t="shared" ref="Q61:Q77" si="36">O61+I61</f>
        <v>-26877</v>
      </c>
      <c r="R61" s="26"/>
      <c r="S61" s="26">
        <f t="shared" ref="S61:S77" si="37">Q61-E61</f>
        <v>0</v>
      </c>
      <c r="U61" s="94" t="s">
        <v>431</v>
      </c>
    </row>
    <row r="62" spans="1:21" x14ac:dyDescent="0.25">
      <c r="A62" s="2"/>
      <c r="B62" s="20">
        <v>6003</v>
      </c>
      <c r="C62" t="s">
        <v>22</v>
      </c>
      <c r="D62" s="17"/>
      <c r="E62" s="24">
        <v>-2520</v>
      </c>
      <c r="F62" s="26"/>
      <c r="G62" s="26">
        <f>'Mapping Data'!G65</f>
        <v>-1680</v>
      </c>
      <c r="H62" s="26"/>
      <c r="I62" s="26">
        <f>'Mapping Data'!F65</f>
        <v>-127.58</v>
      </c>
      <c r="J62" s="26"/>
      <c r="K62" s="26">
        <f t="shared" si="34"/>
        <v>1552.42</v>
      </c>
      <c r="L62" s="45"/>
      <c r="M62" s="192" t="s">
        <v>116</v>
      </c>
      <c r="N62" s="193"/>
      <c r="O62" s="198">
        <f t="shared" si="35"/>
        <v>-2392.42</v>
      </c>
      <c r="P62" s="26"/>
      <c r="Q62" s="26">
        <f t="shared" si="36"/>
        <v>-2520</v>
      </c>
      <c r="R62" s="26"/>
      <c r="S62" s="26">
        <f t="shared" si="37"/>
        <v>0</v>
      </c>
      <c r="U62" s="94" t="s">
        <v>431</v>
      </c>
    </row>
    <row r="63" spans="1:21" x14ac:dyDescent="0.25">
      <c r="A63" s="2"/>
      <c r="B63" s="20">
        <v>6004</v>
      </c>
      <c r="C63" s="13" t="s">
        <v>27</v>
      </c>
      <c r="D63" s="17"/>
      <c r="E63" s="24">
        <v>0</v>
      </c>
      <c r="F63" s="26"/>
      <c r="G63" s="26">
        <f>'Mapping Data'!G66</f>
        <v>0</v>
      </c>
      <c r="H63" s="26"/>
      <c r="I63" s="26">
        <f>'Mapping Data'!F66</f>
        <v>-29.83</v>
      </c>
      <c r="J63" s="26"/>
      <c r="K63" s="26"/>
      <c r="L63" s="45"/>
      <c r="M63" s="192" t="s">
        <v>519</v>
      </c>
      <c r="N63" s="193"/>
      <c r="O63" s="198">
        <f t="shared" si="35"/>
        <v>0</v>
      </c>
      <c r="P63" s="26"/>
      <c r="Q63" s="26">
        <f t="shared" si="36"/>
        <v>-29.83</v>
      </c>
      <c r="R63" s="26"/>
      <c r="S63" s="26">
        <f t="shared" si="37"/>
        <v>-29.83</v>
      </c>
    </row>
    <row r="64" spans="1:21" x14ac:dyDescent="0.25">
      <c r="A64" s="2"/>
      <c r="B64" s="20">
        <v>6005</v>
      </c>
      <c r="C64" s="13" t="s">
        <v>23</v>
      </c>
      <c r="D64" s="13"/>
      <c r="E64" s="24">
        <v>-197782</v>
      </c>
      <c r="F64" s="26"/>
      <c r="G64" s="26">
        <f>'Mapping Data'!G67</f>
        <v>-131856</v>
      </c>
      <c r="H64" s="26"/>
      <c r="I64" s="26">
        <f>'Mapping Data'!F67</f>
        <v>-113660.65</v>
      </c>
      <c r="J64" s="26"/>
      <c r="K64" s="26">
        <f t="shared" si="34"/>
        <v>18195.350000000006</v>
      </c>
      <c r="L64" s="45"/>
      <c r="M64" s="192" t="s">
        <v>518</v>
      </c>
      <c r="N64" s="193">
        <f>O59*0.062</f>
        <v>-75348.485610000003</v>
      </c>
      <c r="O64" s="198">
        <f t="shared" si="35"/>
        <v>-75348.485610000003</v>
      </c>
      <c r="P64" s="26"/>
      <c r="Q64" s="26">
        <f t="shared" si="36"/>
        <v>-189009.13561</v>
      </c>
      <c r="R64" s="26"/>
      <c r="S64" s="26">
        <f t="shared" si="37"/>
        <v>8772.8643900000025</v>
      </c>
      <c r="U64" s="94" t="s">
        <v>206</v>
      </c>
    </row>
    <row r="65" spans="1:21" x14ac:dyDescent="0.25">
      <c r="A65" s="2"/>
      <c r="B65" s="20">
        <v>6007</v>
      </c>
      <c r="C65" s="13" t="s">
        <v>24</v>
      </c>
      <c r="D65" s="13"/>
      <c r="E65" s="24">
        <v>-46255</v>
      </c>
      <c r="F65" s="26"/>
      <c r="G65" s="26">
        <f>'Mapping Data'!G69</f>
        <v>-30840</v>
      </c>
      <c r="H65" s="26"/>
      <c r="I65" s="26">
        <f>'Mapping Data'!F69</f>
        <v>-26581.29</v>
      </c>
      <c r="J65" s="26"/>
      <c r="K65" s="26">
        <f t="shared" si="34"/>
        <v>4258.7099999999991</v>
      </c>
      <c r="L65" s="45"/>
      <c r="M65" s="192" t="s">
        <v>518</v>
      </c>
      <c r="N65" s="193">
        <f>O59*0.0145</f>
        <v>-17621.8232475</v>
      </c>
      <c r="O65" s="198">
        <f t="shared" si="35"/>
        <v>-17621.8232475</v>
      </c>
      <c r="P65" s="26"/>
      <c r="Q65" s="26">
        <f t="shared" si="36"/>
        <v>-44203.113247500005</v>
      </c>
      <c r="R65" s="26"/>
      <c r="S65" s="26">
        <f t="shared" si="37"/>
        <v>2051.8867524999951</v>
      </c>
      <c r="U65" s="94" t="s">
        <v>207</v>
      </c>
    </row>
    <row r="66" spans="1:21" x14ac:dyDescent="0.25">
      <c r="A66" s="2"/>
      <c r="B66" s="20">
        <v>6012</v>
      </c>
      <c r="C66" t="s">
        <v>25</v>
      </c>
      <c r="D66" s="17"/>
      <c r="E66" s="24">
        <v>-79751</v>
      </c>
      <c r="F66" s="26"/>
      <c r="G66" s="26">
        <f>'Mapping Data'!G74</f>
        <v>0</v>
      </c>
      <c r="H66" s="26"/>
      <c r="I66" s="26">
        <f>'Mapping Data'!F74</f>
        <v>-19561.78</v>
      </c>
      <c r="J66" s="26"/>
      <c r="K66" s="26">
        <f t="shared" si="34"/>
        <v>-19561.78</v>
      </c>
      <c r="L66" s="45"/>
      <c r="M66" s="192" t="s">
        <v>515</v>
      </c>
      <c r="N66" s="193">
        <f>-4900*24</f>
        <v>-117600</v>
      </c>
      <c r="O66" s="198">
        <f t="shared" ref="O66:O69" si="38">IF(M66="Average of YTD",I66/$X$4*$Y$4)+IF(M66="Budget",E66-I66)+IF(M66="Hard coded - Actual TY Projection",N66-I66)+IF(M66="Hard coded - Remaining Year Projection",N66)+IF(M66="Payroll 12 months",I66/$X$7*Y$7)+IF(M66="Payroll 11 months",I66/$X$10*$Y$10)+IF(M66="Zero","0.00")+IF(M66="Clearing",-I66)</f>
        <v>-98038.22</v>
      </c>
      <c r="P66" s="26"/>
      <c r="Q66" s="26">
        <f t="shared" si="36"/>
        <v>-117600</v>
      </c>
      <c r="R66" s="26"/>
      <c r="S66" s="26">
        <f t="shared" si="37"/>
        <v>-37849</v>
      </c>
      <c r="U66" s="94" t="s">
        <v>556</v>
      </c>
    </row>
    <row r="67" spans="1:21" x14ac:dyDescent="0.25">
      <c r="A67" s="2"/>
      <c r="B67" s="20">
        <v>6013</v>
      </c>
      <c r="C67" t="s">
        <v>26</v>
      </c>
      <c r="D67" s="17"/>
      <c r="E67" s="24">
        <v>-5000</v>
      </c>
      <c r="F67" s="26"/>
      <c r="G67" s="26">
        <f>'Mapping Data'!G75</f>
        <v>-3336</v>
      </c>
      <c r="H67" s="26"/>
      <c r="I67" s="26">
        <f>'Mapping Data'!F75</f>
        <v>-3492.14</v>
      </c>
      <c r="J67" s="26"/>
      <c r="K67" s="26">
        <f t="shared" si="34"/>
        <v>-156.13999999999987</v>
      </c>
      <c r="L67" s="45"/>
      <c r="M67" s="192" t="s">
        <v>116</v>
      </c>
      <c r="N67" s="193"/>
      <c r="O67" s="198">
        <f t="shared" si="38"/>
        <v>-1507.8600000000001</v>
      </c>
      <c r="P67" s="26"/>
      <c r="Q67" s="26">
        <f t="shared" si="36"/>
        <v>-5000</v>
      </c>
      <c r="R67" s="26"/>
      <c r="S67" s="26">
        <f t="shared" si="37"/>
        <v>0</v>
      </c>
      <c r="U67" s="94" t="s">
        <v>431</v>
      </c>
    </row>
    <row r="68" spans="1:21" x14ac:dyDescent="0.25">
      <c r="A68" s="2"/>
      <c r="B68" s="20">
        <v>6014</v>
      </c>
      <c r="C68" s="132" t="s">
        <v>420</v>
      </c>
      <c r="D68" s="17"/>
      <c r="E68" s="24">
        <v>0</v>
      </c>
      <c r="F68" s="26"/>
      <c r="G68" s="26">
        <f>'Mapping Data'!G76</f>
        <v>0</v>
      </c>
      <c r="H68" s="26"/>
      <c r="I68" s="26">
        <f>'Mapping Data'!F76</f>
        <v>-50.95</v>
      </c>
      <c r="J68" s="26"/>
      <c r="K68" s="26">
        <f t="shared" si="34"/>
        <v>-50.95</v>
      </c>
      <c r="L68" s="45"/>
      <c r="M68" s="192" t="s">
        <v>521</v>
      </c>
      <c r="N68" s="193"/>
      <c r="O68" s="198">
        <f t="shared" si="38"/>
        <v>50.95</v>
      </c>
      <c r="P68" s="26"/>
      <c r="Q68" s="26">
        <f t="shared" si="36"/>
        <v>0</v>
      </c>
      <c r="R68" s="26"/>
      <c r="S68" s="26">
        <f t="shared" si="37"/>
        <v>0</v>
      </c>
      <c r="U68" s="94" t="s">
        <v>503</v>
      </c>
    </row>
    <row r="69" spans="1:21" x14ac:dyDescent="0.25">
      <c r="A69" s="2"/>
      <c r="B69" s="20">
        <v>6016</v>
      </c>
      <c r="C69" s="132" t="s">
        <v>213</v>
      </c>
      <c r="D69" s="13"/>
      <c r="E69" s="24">
        <v>0</v>
      </c>
      <c r="F69" s="26"/>
      <c r="G69" s="26">
        <f>'Mapping Data'!G77</f>
        <v>0</v>
      </c>
      <c r="H69" s="26"/>
      <c r="I69" s="26">
        <f>'Mapping Data'!F77</f>
        <v>0</v>
      </c>
      <c r="J69" s="26"/>
      <c r="K69" s="26">
        <f t="shared" si="34"/>
        <v>0</v>
      </c>
      <c r="L69" s="45"/>
      <c r="M69" s="192" t="s">
        <v>521</v>
      </c>
      <c r="N69" s="193"/>
      <c r="O69" s="198">
        <f t="shared" si="38"/>
        <v>0</v>
      </c>
      <c r="P69" s="26"/>
      <c r="Q69" s="26">
        <f t="shared" si="36"/>
        <v>0</v>
      </c>
      <c r="R69" s="26"/>
      <c r="S69" s="26">
        <f t="shared" si="37"/>
        <v>0</v>
      </c>
      <c r="U69" s="94" t="s">
        <v>503</v>
      </c>
    </row>
    <row r="70" spans="1:21" x14ac:dyDescent="0.25">
      <c r="A70" s="2"/>
      <c r="B70" s="20">
        <v>6017</v>
      </c>
      <c r="C70" s="132" t="s">
        <v>421</v>
      </c>
      <c r="D70" s="17"/>
      <c r="E70" s="24">
        <v>-2000</v>
      </c>
      <c r="F70" s="26"/>
      <c r="G70" s="26">
        <f>'Mapping Data'!G78</f>
        <v>-1336</v>
      </c>
      <c r="H70" s="26"/>
      <c r="I70" s="26">
        <f>'Mapping Data'!F78</f>
        <v>-1025</v>
      </c>
      <c r="J70" s="26"/>
      <c r="K70" s="26">
        <f t="shared" si="34"/>
        <v>311</v>
      </c>
      <c r="L70" s="45"/>
      <c r="M70" s="192" t="s">
        <v>116</v>
      </c>
      <c r="N70" s="193"/>
      <c r="O70" s="198">
        <f t="shared" ref="O70:O76" si="39">IF(M70="Average of YTD",I70/$X$4*$Y$4)+IF(M70="Budget",E70-I70)+IF(M70="Hard coded - Actual TY Projection",N70-I70)+IF(M70="Hard coded - Remaining Year Projection",N70)+IF(M70="Payroll 12 months",I70/$X$7*Y$7)+IF(M70="Payroll 11 months",I70/$X$10*$Y$10)+IF(M70="Zero","0.00")+IF(M70="Clearing",-I70)</f>
        <v>-975</v>
      </c>
      <c r="P70" s="26"/>
      <c r="Q70" s="26">
        <f t="shared" ref="Q70:Q71" si="40">O70+I70</f>
        <v>-2000</v>
      </c>
      <c r="R70" s="26"/>
      <c r="S70" s="26">
        <f t="shared" si="37"/>
        <v>0</v>
      </c>
      <c r="U70" s="94" t="s">
        <v>431</v>
      </c>
    </row>
    <row r="71" spans="1:21" x14ac:dyDescent="0.25">
      <c r="A71" s="2"/>
      <c r="B71" s="20">
        <v>6018</v>
      </c>
      <c r="C71" s="132" t="s">
        <v>137</v>
      </c>
      <c r="D71" s="17"/>
      <c r="E71" s="24">
        <v>-4000</v>
      </c>
      <c r="F71" s="26"/>
      <c r="G71" s="26">
        <f>'Mapping Data'!G79</f>
        <v>-2664</v>
      </c>
      <c r="H71" s="26"/>
      <c r="I71" s="26">
        <f>'Mapping Data'!F79</f>
        <v>-2420.8000000000002</v>
      </c>
      <c r="J71" s="26"/>
      <c r="K71" s="26">
        <f t="shared" si="34"/>
        <v>243.19999999999982</v>
      </c>
      <c r="L71" s="45"/>
      <c r="M71" s="192" t="s">
        <v>116</v>
      </c>
      <c r="N71" s="193"/>
      <c r="O71" s="198">
        <f t="shared" si="39"/>
        <v>-1579.1999999999998</v>
      </c>
      <c r="P71" s="26"/>
      <c r="Q71" s="26">
        <f t="shared" si="40"/>
        <v>-4000</v>
      </c>
      <c r="R71" s="26"/>
      <c r="S71" s="26">
        <f t="shared" si="37"/>
        <v>0</v>
      </c>
      <c r="U71" s="94" t="s">
        <v>431</v>
      </c>
    </row>
    <row r="72" spans="1:21" x14ac:dyDescent="0.25">
      <c r="A72" s="5"/>
      <c r="B72" s="20">
        <v>6019</v>
      </c>
      <c r="C72" s="13" t="s">
        <v>28</v>
      </c>
      <c r="D72" s="13"/>
      <c r="E72" s="24"/>
      <c r="F72" s="26"/>
      <c r="G72" s="26"/>
      <c r="H72" s="26"/>
      <c r="I72" s="26"/>
      <c r="J72" s="26"/>
      <c r="K72" s="26"/>
      <c r="L72" s="45"/>
      <c r="M72" s="192"/>
      <c r="N72" s="193"/>
      <c r="O72" s="26"/>
      <c r="P72" s="26"/>
      <c r="Q72" s="26"/>
      <c r="R72" s="26"/>
      <c r="S72" s="26"/>
    </row>
    <row r="73" spans="1:21" ht="30" x14ac:dyDescent="0.25">
      <c r="A73" s="2"/>
      <c r="B73" s="20"/>
      <c r="C73" t="s">
        <v>29</v>
      </c>
      <c r="D73" s="17"/>
      <c r="E73" s="24">
        <v>-237300</v>
      </c>
      <c r="F73" s="26"/>
      <c r="G73" s="26">
        <f>'Mapping Data'!G81</f>
        <v>-158200</v>
      </c>
      <c r="H73" s="26"/>
      <c r="I73" s="26">
        <f>'Mapping Data'!F81</f>
        <v>-166355.39000000001</v>
      </c>
      <c r="J73" s="26"/>
      <c r="K73" s="26">
        <f t="shared" si="34"/>
        <v>-8155.390000000014</v>
      </c>
      <c r="L73" s="45"/>
      <c r="M73" s="192" t="s">
        <v>518</v>
      </c>
      <c r="N73" s="193">
        <f>-21500*4</f>
        <v>-86000</v>
      </c>
      <c r="O73" s="198">
        <f t="shared" si="39"/>
        <v>-86000</v>
      </c>
      <c r="P73" s="26"/>
      <c r="Q73" s="26">
        <f t="shared" si="36"/>
        <v>-252355.39</v>
      </c>
      <c r="R73" s="26"/>
      <c r="S73" s="26">
        <f t="shared" si="37"/>
        <v>-15055.390000000014</v>
      </c>
      <c r="U73" s="94" t="s">
        <v>529</v>
      </c>
    </row>
    <row r="74" spans="1:21" x14ac:dyDescent="0.25">
      <c r="A74" s="2"/>
      <c r="B74" s="20"/>
      <c r="C74" t="s">
        <v>30</v>
      </c>
      <c r="D74" s="17"/>
      <c r="E74" s="24">
        <v>-12600</v>
      </c>
      <c r="F74" s="26"/>
      <c r="G74" s="26">
        <f>'Mapping Data'!G82</f>
        <v>-8400</v>
      </c>
      <c r="H74" s="26"/>
      <c r="I74" s="26">
        <f>'Mapping Data'!F82</f>
        <v>-6314.32</v>
      </c>
      <c r="J74" s="26"/>
      <c r="K74" s="26">
        <f t="shared" si="34"/>
        <v>2085.6800000000003</v>
      </c>
      <c r="L74" s="45"/>
      <c r="M74" s="192" t="s">
        <v>518</v>
      </c>
      <c r="N74" s="193">
        <f>-750*4</f>
        <v>-3000</v>
      </c>
      <c r="O74" s="198">
        <f t="shared" si="39"/>
        <v>-3000</v>
      </c>
      <c r="P74" s="26"/>
      <c r="Q74" s="26">
        <f t="shared" si="36"/>
        <v>-9314.32</v>
      </c>
      <c r="R74" s="26"/>
      <c r="S74" s="26">
        <f t="shared" si="37"/>
        <v>3285.6800000000003</v>
      </c>
      <c r="U74" s="94" t="s">
        <v>530</v>
      </c>
    </row>
    <row r="75" spans="1:21" x14ac:dyDescent="0.25">
      <c r="A75" s="2"/>
      <c r="B75" s="20"/>
      <c r="C75" t="s">
        <v>31</v>
      </c>
      <c r="D75" s="17"/>
      <c r="E75" s="24">
        <v>-4200</v>
      </c>
      <c r="F75" s="26"/>
      <c r="G75" s="26">
        <f>'Mapping Data'!G83</f>
        <v>-2800</v>
      </c>
      <c r="H75" s="26"/>
      <c r="I75" s="26">
        <f>'Mapping Data'!F83</f>
        <v>-1884.4</v>
      </c>
      <c r="J75" s="26"/>
      <c r="K75" s="26">
        <f t="shared" si="34"/>
        <v>915.59999999999991</v>
      </c>
      <c r="L75" s="45"/>
      <c r="M75" s="192" t="s">
        <v>518</v>
      </c>
      <c r="N75" s="193">
        <f>-200*4</f>
        <v>-800</v>
      </c>
      <c r="O75" s="198">
        <f t="shared" si="39"/>
        <v>-800</v>
      </c>
      <c r="P75" s="26"/>
      <c r="Q75" s="26">
        <f t="shared" si="36"/>
        <v>-2684.4</v>
      </c>
      <c r="R75" s="26"/>
      <c r="S75" s="26">
        <f t="shared" si="37"/>
        <v>1515.6</v>
      </c>
      <c r="U75" s="94" t="s">
        <v>531</v>
      </c>
    </row>
    <row r="76" spans="1:21" x14ac:dyDescent="0.25">
      <c r="A76" s="2"/>
      <c r="B76" s="20"/>
      <c r="C76" t="s">
        <v>424</v>
      </c>
      <c r="D76" s="17"/>
      <c r="E76" s="24">
        <v>-12600</v>
      </c>
      <c r="F76" s="26"/>
      <c r="G76" s="26">
        <f>'Mapping Data'!G84</f>
        <v>-8400</v>
      </c>
      <c r="H76" s="26"/>
      <c r="I76" s="26">
        <f>'Mapping Data'!F84</f>
        <v>-7389.1</v>
      </c>
      <c r="J76" s="26"/>
      <c r="K76" s="26">
        <f t="shared" si="34"/>
        <v>1010.8999999999996</v>
      </c>
      <c r="L76" s="45"/>
      <c r="M76" s="192" t="s">
        <v>518</v>
      </c>
      <c r="N76" s="193">
        <f>-800*4</f>
        <v>-3200</v>
      </c>
      <c r="O76" s="198">
        <f t="shared" si="39"/>
        <v>-3200</v>
      </c>
      <c r="P76" s="26"/>
      <c r="Q76" s="26">
        <f t="shared" si="36"/>
        <v>-10589.1</v>
      </c>
      <c r="R76" s="26"/>
      <c r="S76" s="26">
        <f t="shared" si="37"/>
        <v>2010.8999999999996</v>
      </c>
      <c r="U76" s="94" t="s">
        <v>512</v>
      </c>
    </row>
    <row r="77" spans="1:21" x14ac:dyDescent="0.25">
      <c r="A77" s="2"/>
      <c r="B77" s="20"/>
      <c r="C77" t="s">
        <v>425</v>
      </c>
      <c r="D77" s="17"/>
      <c r="E77" s="24">
        <v>-15000</v>
      </c>
      <c r="F77" s="26"/>
      <c r="G77" s="26">
        <f>'Mapping Data'!G85</f>
        <v>-10000</v>
      </c>
      <c r="H77" s="26"/>
      <c r="I77" s="26">
        <f>'Mapping Data'!F85</f>
        <v>-18552.28</v>
      </c>
      <c r="J77" s="26"/>
      <c r="K77" s="26">
        <f t="shared" si="34"/>
        <v>-8552.2799999999988</v>
      </c>
      <c r="L77" s="45"/>
      <c r="M77" s="192" t="s">
        <v>517</v>
      </c>
      <c r="N77" s="193"/>
      <c r="O77" s="198">
        <f t="shared" ref="O77" si="41">IF(M77="Average of YTD",I77/$X$4*$Y$4)+IF(M77="Budget",E77-I77)+IF(M77="Hard coded - Actual TY Projection",N77-I77)+IF(M77="Hard coded - Remaining Year Projection",N77)+IF(M77="Payroll 12 months",I77/$X$7*Y$7)+IF(M77="Payroll 11 months",I77/$X$10*$Y$10)+IF(M77="Zero","0.00")+IF(M77="Clearing",-I77)</f>
        <v>-9276.14</v>
      </c>
      <c r="P77" s="26"/>
      <c r="Q77" s="26">
        <f t="shared" si="36"/>
        <v>-27828.42</v>
      </c>
      <c r="R77" s="26"/>
      <c r="S77" s="26">
        <f t="shared" si="37"/>
        <v>-12828.419999999998</v>
      </c>
      <c r="U77" s="94" t="s">
        <v>535</v>
      </c>
    </row>
    <row r="78" spans="1:21" x14ac:dyDescent="0.25">
      <c r="A78" s="2"/>
      <c r="B78" s="20"/>
      <c r="C78" s="11" t="s">
        <v>7</v>
      </c>
      <c r="D78" s="11"/>
      <c r="E78" s="27">
        <f>SUM(E61:E77)</f>
        <v>-645885</v>
      </c>
      <c r="F78" s="26"/>
      <c r="G78" s="27">
        <f>SUM(G61:G77)</f>
        <v>-377432</v>
      </c>
      <c r="H78" s="24"/>
      <c r="I78" s="27">
        <f>SUM(I61:I77)</f>
        <v>-389703.9</v>
      </c>
      <c r="J78" s="24"/>
      <c r="K78" s="27">
        <f>SUM(K61:K77)</f>
        <v>-12242.070000000009</v>
      </c>
      <c r="L78" s="41">
        <f>SUM(L61:L77)</f>
        <v>0</v>
      </c>
      <c r="M78" s="27"/>
      <c r="N78" s="27"/>
      <c r="O78" s="27">
        <f>SUM(O61:O77)</f>
        <v>-304306.80885749997</v>
      </c>
      <c r="P78" s="24"/>
      <c r="Q78" s="27">
        <f>SUM(Q61:Q77)</f>
        <v>-694010.70885749999</v>
      </c>
      <c r="R78" s="24"/>
      <c r="S78" s="27">
        <f>SUM(S61:S77)</f>
        <v>-48125.708857500016</v>
      </c>
    </row>
    <row r="79" spans="1:21" x14ac:dyDescent="0.25">
      <c r="A79" s="10" t="s">
        <v>32</v>
      </c>
      <c r="B79" s="15"/>
      <c r="C79" s="15"/>
      <c r="D79" s="15"/>
      <c r="E79" s="24"/>
      <c r="F79" s="26"/>
      <c r="G79" s="26"/>
      <c r="H79" s="26"/>
      <c r="I79" s="26"/>
      <c r="J79" s="26"/>
      <c r="K79" s="26"/>
      <c r="L79" s="45"/>
      <c r="M79" s="26"/>
      <c r="N79" s="26"/>
      <c r="O79" s="26"/>
      <c r="P79" s="26"/>
      <c r="Q79" s="26"/>
      <c r="R79" s="26"/>
      <c r="S79" s="26"/>
    </row>
    <row r="80" spans="1:21" x14ac:dyDescent="0.25">
      <c r="A80" s="7"/>
      <c r="B80" s="4">
        <v>6101</v>
      </c>
      <c r="C80" t="s">
        <v>63</v>
      </c>
      <c r="D80" s="19"/>
      <c r="E80" s="24">
        <v>-35000</v>
      </c>
      <c r="F80" s="26"/>
      <c r="G80" s="26">
        <f>'Mapping Data'!G89</f>
        <v>-28000</v>
      </c>
      <c r="H80" s="26"/>
      <c r="I80" s="26">
        <f>'Mapping Data'!F89</f>
        <v>-26113.05</v>
      </c>
      <c r="J80" s="26"/>
      <c r="K80" s="26">
        <f t="shared" ref="K80:K95" si="42">I80-G80</f>
        <v>1886.9500000000007</v>
      </c>
      <c r="L80" s="45"/>
      <c r="M80" s="192" t="s">
        <v>116</v>
      </c>
      <c r="N80" s="193"/>
      <c r="O80" s="198">
        <f t="shared" ref="O80:O87" si="43">IF(M80="Average of YTD",I80/$X$4*$Y$4)+IF(M80="Budget",E80-I80)+IF(M80="Hard coded - Actual TY Projection",N80-I80)+IF(M80="Hard coded - Remaining Year Projection",N80)+IF(M80="Payroll 12 months",I80/$X$7*Y$7)+IF(M80="Payroll 11 months",I80/$X$10*$Y$10)+IF(M80="Zero","0.00")+IF(M80="Clearing",-I80)</f>
        <v>-8886.9500000000007</v>
      </c>
      <c r="P80" s="26"/>
      <c r="Q80" s="26">
        <f t="shared" ref="Q80:Q95" si="44">O80+I80</f>
        <v>-35000</v>
      </c>
      <c r="R80" s="26"/>
      <c r="S80" s="26">
        <f t="shared" ref="S80:S95" si="45">Q80-E80</f>
        <v>0</v>
      </c>
      <c r="U80" s="94" t="s">
        <v>431</v>
      </c>
    </row>
    <row r="81" spans="1:21" x14ac:dyDescent="0.25">
      <c r="A81" s="7"/>
      <c r="B81" s="4">
        <v>6102</v>
      </c>
      <c r="C81" s="97" t="s">
        <v>64</v>
      </c>
      <c r="D81" s="19"/>
      <c r="E81" s="24">
        <v>-35000</v>
      </c>
      <c r="F81" s="26"/>
      <c r="G81" s="26">
        <f>'Mapping Data'!G90</f>
        <v>-28000</v>
      </c>
      <c r="H81" s="26"/>
      <c r="I81" s="26">
        <f>'Mapping Data'!F90</f>
        <v>-2069.0700000000002</v>
      </c>
      <c r="J81" s="26"/>
      <c r="K81" s="26">
        <f t="shared" si="42"/>
        <v>25930.93</v>
      </c>
      <c r="L81" s="45"/>
      <c r="M81" s="192" t="s">
        <v>116</v>
      </c>
      <c r="N81" s="193"/>
      <c r="O81" s="198">
        <f t="shared" si="43"/>
        <v>-32930.93</v>
      </c>
      <c r="P81" s="26"/>
      <c r="Q81" s="26">
        <f t="shared" si="44"/>
        <v>-35000</v>
      </c>
      <c r="R81" s="26"/>
      <c r="S81" s="26">
        <f t="shared" si="45"/>
        <v>0</v>
      </c>
      <c r="U81" s="94" t="s">
        <v>431</v>
      </c>
    </row>
    <row r="82" spans="1:21" ht="90" x14ac:dyDescent="0.25">
      <c r="A82" s="7"/>
      <c r="B82" s="4">
        <v>6104</v>
      </c>
      <c r="C82" t="s">
        <v>4</v>
      </c>
      <c r="D82" s="19"/>
      <c r="E82" s="24">
        <v>-16893</v>
      </c>
      <c r="F82" s="26"/>
      <c r="G82" s="26">
        <f>'Mapping Data'!G91</f>
        <v>-14080</v>
      </c>
      <c r="H82" s="26"/>
      <c r="I82" s="26">
        <f>'Mapping Data'!F91</f>
        <v>0</v>
      </c>
      <c r="J82" s="26"/>
      <c r="K82" s="26">
        <f t="shared" si="42"/>
        <v>14080</v>
      </c>
      <c r="L82" s="45"/>
      <c r="M82" s="192" t="s">
        <v>515</v>
      </c>
      <c r="N82" s="193">
        <v>-17475</v>
      </c>
      <c r="O82" s="198">
        <f t="shared" si="43"/>
        <v>-17475</v>
      </c>
      <c r="P82" s="26"/>
      <c r="Q82" s="26">
        <f t="shared" si="44"/>
        <v>-17475</v>
      </c>
      <c r="R82" s="26"/>
      <c r="S82" s="26">
        <f t="shared" si="45"/>
        <v>-582</v>
      </c>
      <c r="U82" s="94" t="s">
        <v>460</v>
      </c>
    </row>
    <row r="83" spans="1:21" ht="90" x14ac:dyDescent="0.25">
      <c r="A83" s="7"/>
      <c r="B83" s="4">
        <v>6105</v>
      </c>
      <c r="C83" t="s">
        <v>5</v>
      </c>
      <c r="D83" s="19"/>
      <c r="E83" s="24">
        <v>-4344</v>
      </c>
      <c r="F83" s="26"/>
      <c r="G83" s="26">
        <f>'Mapping Data'!G92</f>
        <v>-3620</v>
      </c>
      <c r="H83" s="26"/>
      <c r="I83" s="26">
        <f>'Mapping Data'!F92</f>
        <v>0</v>
      </c>
      <c r="J83" s="26"/>
      <c r="K83" s="26">
        <f t="shared" si="42"/>
        <v>3620</v>
      </c>
      <c r="L83" s="45"/>
      <c r="M83" s="192" t="s">
        <v>515</v>
      </c>
      <c r="N83" s="193">
        <v>-4494</v>
      </c>
      <c r="O83" s="198">
        <f t="shared" si="43"/>
        <v>-4494</v>
      </c>
      <c r="P83" s="26"/>
      <c r="Q83" s="26">
        <f t="shared" si="44"/>
        <v>-4494</v>
      </c>
      <c r="R83" s="26"/>
      <c r="S83" s="26">
        <f t="shared" si="45"/>
        <v>-150</v>
      </c>
      <c r="U83" s="94" t="s">
        <v>460</v>
      </c>
    </row>
    <row r="84" spans="1:21" ht="90" x14ac:dyDescent="0.25">
      <c r="A84" s="7"/>
      <c r="B84" s="4">
        <v>6106</v>
      </c>
      <c r="C84" t="s">
        <v>6</v>
      </c>
      <c r="D84" s="19"/>
      <c r="E84" s="24">
        <v>-1813</v>
      </c>
      <c r="F84" s="26"/>
      <c r="G84" s="26">
        <f>'Mapping Data'!G93</f>
        <v>-1510</v>
      </c>
      <c r="H84" s="26"/>
      <c r="I84" s="26">
        <f>'Mapping Data'!F93</f>
        <v>0</v>
      </c>
      <c r="J84" s="26"/>
      <c r="K84" s="26">
        <f t="shared" si="42"/>
        <v>1510</v>
      </c>
      <c r="L84" s="45"/>
      <c r="M84" s="192" t="s">
        <v>515</v>
      </c>
      <c r="N84" s="193">
        <v>-1875</v>
      </c>
      <c r="O84" s="198">
        <f t="shared" si="43"/>
        <v>-1875</v>
      </c>
      <c r="P84" s="26"/>
      <c r="Q84" s="26">
        <f t="shared" si="44"/>
        <v>-1875</v>
      </c>
      <c r="R84" s="26"/>
      <c r="S84" s="26">
        <f t="shared" si="45"/>
        <v>-62</v>
      </c>
      <c r="U84" s="94" t="s">
        <v>460</v>
      </c>
    </row>
    <row r="85" spans="1:21" x14ac:dyDescent="0.25">
      <c r="A85" s="7"/>
      <c r="B85" s="4">
        <v>6107</v>
      </c>
      <c r="C85" t="s">
        <v>65</v>
      </c>
      <c r="D85" s="19"/>
      <c r="E85" s="24">
        <v>-20000</v>
      </c>
      <c r="F85" s="26"/>
      <c r="G85" s="26">
        <f>'Mapping Data'!G94</f>
        <v>-16000</v>
      </c>
      <c r="H85" s="26"/>
      <c r="I85" s="26">
        <f>'Mapping Data'!F94</f>
        <v>-14259.01</v>
      </c>
      <c r="J85" s="26"/>
      <c r="K85" s="26">
        <f t="shared" si="42"/>
        <v>1740.9899999999998</v>
      </c>
      <c r="L85" s="45"/>
      <c r="M85" s="192" t="s">
        <v>116</v>
      </c>
      <c r="N85" s="193"/>
      <c r="O85" s="198">
        <f t="shared" si="43"/>
        <v>-5740.99</v>
      </c>
      <c r="P85" s="26"/>
      <c r="Q85" s="26">
        <f t="shared" si="44"/>
        <v>-20000</v>
      </c>
      <c r="R85" s="26"/>
      <c r="S85" s="26">
        <f t="shared" si="45"/>
        <v>0</v>
      </c>
      <c r="U85" s="94" t="s">
        <v>431</v>
      </c>
    </row>
    <row r="86" spans="1:21" ht="30" x14ac:dyDescent="0.25">
      <c r="A86" s="7"/>
      <c r="B86" s="4">
        <v>6108</v>
      </c>
      <c r="C86" t="s">
        <v>66</v>
      </c>
      <c r="D86" s="19"/>
      <c r="E86" s="24">
        <v>-20000</v>
      </c>
      <c r="F86" s="26"/>
      <c r="G86" s="26">
        <f>'Mapping Data'!G95</f>
        <v>-13336</v>
      </c>
      <c r="H86" s="26"/>
      <c r="I86" s="26">
        <f>'Mapping Data'!F95</f>
        <v>-34479.620000000003</v>
      </c>
      <c r="J86" s="26"/>
      <c r="K86" s="26">
        <f t="shared" si="42"/>
        <v>-21143.620000000003</v>
      </c>
      <c r="L86" s="45"/>
      <c r="M86" s="192" t="s">
        <v>515</v>
      </c>
      <c r="N86" s="193">
        <v>-35000</v>
      </c>
      <c r="O86" s="198">
        <f t="shared" si="43"/>
        <v>-520.37999999999738</v>
      </c>
      <c r="P86" s="26"/>
      <c r="Q86" s="26">
        <f t="shared" si="44"/>
        <v>-35000</v>
      </c>
      <c r="R86" s="26"/>
      <c r="S86" s="26">
        <f t="shared" si="45"/>
        <v>-15000</v>
      </c>
      <c r="U86" s="94" t="s">
        <v>498</v>
      </c>
    </row>
    <row r="87" spans="1:21" ht="30" x14ac:dyDescent="0.25">
      <c r="A87" s="7"/>
      <c r="B87" s="4">
        <v>6109</v>
      </c>
      <c r="C87" t="s">
        <v>67</v>
      </c>
      <c r="D87" s="19"/>
      <c r="E87" s="24">
        <v>-15000</v>
      </c>
      <c r="F87" s="26"/>
      <c r="G87" s="26">
        <f>'Mapping Data'!G96</f>
        <v>-9000</v>
      </c>
      <c r="H87" s="26"/>
      <c r="I87" s="26">
        <f>'Mapping Data'!F96</f>
        <v>-22311</v>
      </c>
      <c r="J87" s="26"/>
      <c r="K87" s="26">
        <f t="shared" si="42"/>
        <v>-13311</v>
      </c>
      <c r="L87" s="45"/>
      <c r="M87" s="192" t="s">
        <v>515</v>
      </c>
      <c r="N87" s="193">
        <v>-40000</v>
      </c>
      <c r="O87" s="198">
        <f t="shared" si="43"/>
        <v>-17689</v>
      </c>
      <c r="P87" s="26"/>
      <c r="Q87" s="26">
        <f t="shared" si="44"/>
        <v>-40000</v>
      </c>
      <c r="R87" s="26"/>
      <c r="S87" s="26">
        <f t="shared" si="45"/>
        <v>-25000</v>
      </c>
      <c r="U87" s="94" t="s">
        <v>461</v>
      </c>
    </row>
    <row r="88" spans="1:21" x14ac:dyDescent="0.25">
      <c r="A88" s="7"/>
      <c r="B88" s="4">
        <v>6110</v>
      </c>
      <c r="C88" t="s">
        <v>68</v>
      </c>
      <c r="D88" s="19"/>
      <c r="E88" s="24">
        <v>-15000</v>
      </c>
      <c r="F88" s="26"/>
      <c r="G88" s="26">
        <f>'Mapping Data'!G97</f>
        <v>-12000</v>
      </c>
      <c r="H88" s="26"/>
      <c r="I88" s="26">
        <f>'Mapping Data'!F97</f>
        <v>0</v>
      </c>
      <c r="J88" s="26"/>
      <c r="K88" s="26">
        <f t="shared" si="42"/>
        <v>12000</v>
      </c>
      <c r="L88" s="45"/>
      <c r="M88" s="192" t="s">
        <v>116</v>
      </c>
      <c r="N88" s="193"/>
      <c r="O88" s="198">
        <f t="shared" ref="O88:O94" si="46">IF(M88="Average of YTD",I88/$X$4*$Y$4)+IF(M88="Budget",E88-I88)+IF(M88="Hard coded - Actual TY Projection",N88-I88)+IF(M88="Hard coded - Remaining Year Projection",N88)+IF(M88="Payroll 12 months",I88/$X$7*Y$7)+IF(M88="Payroll 11 months",I88/$X$10*$Y$10)+IF(M88="Zero","0.00")+IF(M88="Clearing",-I88)</f>
        <v>-15000</v>
      </c>
      <c r="P88" s="26"/>
      <c r="Q88" s="26">
        <f t="shared" si="44"/>
        <v>-15000</v>
      </c>
      <c r="R88" s="26"/>
      <c r="S88" s="26">
        <f t="shared" si="45"/>
        <v>0</v>
      </c>
      <c r="U88" s="94" t="s">
        <v>431</v>
      </c>
    </row>
    <row r="89" spans="1:21" x14ac:dyDescent="0.25">
      <c r="A89" s="7"/>
      <c r="B89" s="4">
        <v>6111</v>
      </c>
      <c r="C89" t="s">
        <v>69</v>
      </c>
      <c r="D89" s="19"/>
      <c r="E89" s="24">
        <v>-7000</v>
      </c>
      <c r="F89" s="26"/>
      <c r="G89" s="26">
        <f>'Mapping Data'!G98</f>
        <v>-4200</v>
      </c>
      <c r="H89" s="26"/>
      <c r="I89" s="26">
        <f>'Mapping Data'!F98</f>
        <v>-3626.75</v>
      </c>
      <c r="J89" s="26"/>
      <c r="K89" s="26">
        <f t="shared" si="42"/>
        <v>573.25</v>
      </c>
      <c r="L89" s="45"/>
      <c r="M89" s="192" t="s">
        <v>116</v>
      </c>
      <c r="N89" s="193"/>
      <c r="O89" s="198">
        <f t="shared" si="46"/>
        <v>-3373.25</v>
      </c>
      <c r="P89" s="26"/>
      <c r="Q89" s="26">
        <f t="shared" si="44"/>
        <v>-7000</v>
      </c>
      <c r="R89" s="26"/>
      <c r="S89" s="26">
        <f t="shared" si="45"/>
        <v>0</v>
      </c>
      <c r="U89" s="94" t="s">
        <v>431</v>
      </c>
    </row>
    <row r="90" spans="1:21" ht="30" x14ac:dyDescent="0.25">
      <c r="A90" s="7"/>
      <c r="B90" s="4">
        <v>6112</v>
      </c>
      <c r="C90" t="s">
        <v>70</v>
      </c>
      <c r="D90" s="19"/>
      <c r="E90" s="24">
        <v>-20000</v>
      </c>
      <c r="F90" s="26"/>
      <c r="G90" s="26">
        <f>'Mapping Data'!G99</f>
        <v>-12000</v>
      </c>
      <c r="H90" s="26"/>
      <c r="I90" s="26">
        <f>'Mapping Data'!F99</f>
        <v>-2646.25</v>
      </c>
      <c r="J90" s="26"/>
      <c r="K90" s="26">
        <f t="shared" si="42"/>
        <v>9353.75</v>
      </c>
      <c r="L90" s="45"/>
      <c r="M90" s="192" t="s">
        <v>515</v>
      </c>
      <c r="N90" s="193">
        <v>-35000</v>
      </c>
      <c r="O90" s="198">
        <f t="shared" si="46"/>
        <v>-32353.75</v>
      </c>
      <c r="P90" s="26"/>
      <c r="Q90" s="26">
        <f t="shared" si="44"/>
        <v>-35000</v>
      </c>
      <c r="R90" s="26"/>
      <c r="S90" s="26">
        <f t="shared" si="45"/>
        <v>-15000</v>
      </c>
      <c r="U90" s="94" t="s">
        <v>504</v>
      </c>
    </row>
    <row r="91" spans="1:21" ht="45" x14ac:dyDescent="0.25">
      <c r="A91" s="7"/>
      <c r="B91" s="4">
        <v>6113</v>
      </c>
      <c r="C91" t="s">
        <v>71</v>
      </c>
      <c r="D91" s="19"/>
      <c r="E91" s="24">
        <v>-50000</v>
      </c>
      <c r="F91" s="26"/>
      <c r="G91" s="26">
        <f>'Mapping Data'!G100</f>
        <v>-30000</v>
      </c>
      <c r="H91" s="26"/>
      <c r="I91" s="26">
        <f>'Mapping Data'!F100</f>
        <v>-45368.01</v>
      </c>
      <c r="J91" s="26"/>
      <c r="K91" s="26">
        <f t="shared" si="42"/>
        <v>-15368.010000000002</v>
      </c>
      <c r="L91" s="45"/>
      <c r="M91" s="192" t="s">
        <v>515</v>
      </c>
      <c r="N91" s="193">
        <v>-130000</v>
      </c>
      <c r="O91" s="198">
        <f t="shared" si="46"/>
        <v>-84631.989999999991</v>
      </c>
      <c r="P91" s="26"/>
      <c r="Q91" s="26">
        <f t="shared" si="44"/>
        <v>-130000</v>
      </c>
      <c r="R91" s="26"/>
      <c r="S91" s="26">
        <f t="shared" si="45"/>
        <v>-80000</v>
      </c>
      <c r="U91" s="94" t="s">
        <v>536</v>
      </c>
    </row>
    <row r="92" spans="1:21" x14ac:dyDescent="0.25">
      <c r="A92" s="7"/>
      <c r="B92" s="4">
        <v>6114</v>
      </c>
      <c r="C92" t="s">
        <v>72</v>
      </c>
      <c r="D92" s="19"/>
      <c r="E92" s="24">
        <v>-6900</v>
      </c>
      <c r="F92" s="26"/>
      <c r="G92" s="26">
        <f>'Mapping Data'!G101</f>
        <v>-5520</v>
      </c>
      <c r="H92" s="26"/>
      <c r="I92" s="26">
        <f>'Mapping Data'!F101</f>
        <v>-8837.5</v>
      </c>
      <c r="J92" s="26"/>
      <c r="K92" s="26">
        <f t="shared" si="42"/>
        <v>-3317.5</v>
      </c>
      <c r="L92" s="45"/>
      <c r="M92" s="192" t="s">
        <v>518</v>
      </c>
      <c r="N92" s="193">
        <f>((G92-2900)/6)*5</f>
        <v>-7016.6666666666661</v>
      </c>
      <c r="O92" s="198">
        <f t="shared" si="46"/>
        <v>-7016.6666666666661</v>
      </c>
      <c r="P92" s="26"/>
      <c r="Q92" s="26">
        <f t="shared" si="44"/>
        <v>-15854.166666666666</v>
      </c>
      <c r="R92" s="26"/>
      <c r="S92" s="26">
        <f t="shared" si="45"/>
        <v>-8954.1666666666661</v>
      </c>
      <c r="U92" s="94" t="s">
        <v>210</v>
      </c>
    </row>
    <row r="93" spans="1:21" x14ac:dyDescent="0.25">
      <c r="A93" s="7"/>
      <c r="B93" s="4">
        <v>6115</v>
      </c>
      <c r="C93" t="s">
        <v>73</v>
      </c>
      <c r="D93" s="19"/>
      <c r="E93" s="24">
        <v>-15000</v>
      </c>
      <c r="F93" s="26"/>
      <c r="G93" s="26">
        <f>'Mapping Data'!G102</f>
        <v>-12000</v>
      </c>
      <c r="H93" s="26"/>
      <c r="I93" s="26">
        <f>'Mapping Data'!F102</f>
        <v>-12831.05</v>
      </c>
      <c r="J93" s="26"/>
      <c r="K93" s="26">
        <f t="shared" si="42"/>
        <v>-831.04999999999927</v>
      </c>
      <c r="L93" s="45"/>
      <c r="M93" s="192" t="s">
        <v>116</v>
      </c>
      <c r="N93" s="193"/>
      <c r="O93" s="198">
        <f t="shared" ref="O93" si="47">IF(M93="Average of YTD",I93/$X$4*$Y$4)+IF(M93="Budget",E93-I93)+IF(M93="Hard coded - Actual TY Projection",N93-I93)+IF(M93="Hard coded - Remaining Year Projection",N93)+IF(M93="Payroll 12 months",I93/$X$7*Y$7)+IF(M93="Payroll 11 months",I93/$X$10*$Y$10)+IF(M93="Zero","0.00")+IF(M93="Clearing",-I93)</f>
        <v>-2168.9500000000007</v>
      </c>
      <c r="P93" s="26"/>
      <c r="Q93" s="26">
        <f t="shared" si="44"/>
        <v>-15000</v>
      </c>
      <c r="R93" s="26"/>
      <c r="S93" s="26">
        <f t="shared" si="45"/>
        <v>0</v>
      </c>
      <c r="U93" s="94" t="s">
        <v>431</v>
      </c>
    </row>
    <row r="94" spans="1:21" x14ac:dyDescent="0.25">
      <c r="A94" s="7"/>
      <c r="B94" s="4">
        <v>6116</v>
      </c>
      <c r="C94" t="s">
        <v>74</v>
      </c>
      <c r="D94" s="19"/>
      <c r="E94" s="24">
        <v>-8000</v>
      </c>
      <c r="F94" s="26"/>
      <c r="G94" s="26">
        <f>'Mapping Data'!G103</f>
        <v>-6400</v>
      </c>
      <c r="H94" s="26"/>
      <c r="I94" s="26">
        <f>'Mapping Data'!F103</f>
        <v>-24683.41</v>
      </c>
      <c r="J94" s="26"/>
      <c r="K94" s="26">
        <f t="shared" si="42"/>
        <v>-18283.41</v>
      </c>
      <c r="L94" s="45"/>
      <c r="M94" s="192" t="s">
        <v>519</v>
      </c>
      <c r="N94" s="193"/>
      <c r="O94" s="198">
        <f t="shared" si="46"/>
        <v>0</v>
      </c>
      <c r="P94" s="26"/>
      <c r="Q94" s="26">
        <f t="shared" si="44"/>
        <v>-24683.41</v>
      </c>
      <c r="R94" s="26"/>
      <c r="S94" s="26">
        <f t="shared" si="45"/>
        <v>-16683.41</v>
      </c>
      <c r="U94" s="94" t="s">
        <v>432</v>
      </c>
    </row>
    <row r="95" spans="1:21" x14ac:dyDescent="0.25">
      <c r="A95" s="7"/>
      <c r="B95" s="4">
        <v>6117</v>
      </c>
      <c r="C95" t="s">
        <v>75</v>
      </c>
      <c r="D95" s="19"/>
      <c r="E95" s="24">
        <v>-1500</v>
      </c>
      <c r="F95" s="26"/>
      <c r="G95" s="26">
        <f>'Mapping Data'!G104</f>
        <v>-900</v>
      </c>
      <c r="H95" s="26"/>
      <c r="I95" s="26">
        <f>'Mapping Data'!F104</f>
        <v>0</v>
      </c>
      <c r="J95" s="26"/>
      <c r="K95" s="26">
        <f t="shared" si="42"/>
        <v>900</v>
      </c>
      <c r="L95" s="45"/>
      <c r="M95" s="192" t="s">
        <v>116</v>
      </c>
      <c r="N95" s="193"/>
      <c r="O95" s="198">
        <f t="shared" ref="O95" si="48">IF(M95="Average of YTD",I95/$X$4*$Y$4)+IF(M95="Budget",E95-I95)+IF(M95="Hard coded - Actual TY Projection",N95-I95)+IF(M95="Hard coded - Remaining Year Projection",N95)+IF(M95="Payroll 12 months",I95/$X$7*Y$7)+IF(M95="Payroll 11 months",I95/$X$10*$Y$10)+IF(M95="Zero","0.00")+IF(M95="Clearing",-I95)</f>
        <v>-1500</v>
      </c>
      <c r="P95" s="26"/>
      <c r="Q95" s="26">
        <f t="shared" si="44"/>
        <v>-1500</v>
      </c>
      <c r="R95" s="26"/>
      <c r="S95" s="26">
        <f t="shared" si="45"/>
        <v>0</v>
      </c>
      <c r="U95" s="94" t="s">
        <v>431</v>
      </c>
    </row>
    <row r="96" spans="1:21" x14ac:dyDescent="0.25">
      <c r="A96" s="2"/>
      <c r="B96" s="20"/>
      <c r="C96" s="11" t="s">
        <v>7</v>
      </c>
      <c r="D96" s="11"/>
      <c r="E96" s="27">
        <f>SUM(E80:E95)</f>
        <v>-271450</v>
      </c>
      <c r="F96" s="26"/>
      <c r="G96" s="27">
        <f>SUM(G80:G95)</f>
        <v>-196566</v>
      </c>
      <c r="H96" s="24"/>
      <c r="I96" s="27">
        <f>SUM(I80:I95)</f>
        <v>-197224.72</v>
      </c>
      <c r="J96" s="24"/>
      <c r="K96" s="27">
        <f>SUM(K80:K95)</f>
        <v>-658.72000000000116</v>
      </c>
      <c r="L96" s="41">
        <f>SUM(L80:L95)</f>
        <v>0</v>
      </c>
      <c r="M96" s="27"/>
      <c r="N96" s="27"/>
      <c r="O96" s="27">
        <f>SUM(O80:O95)</f>
        <v>-235656.85666666666</v>
      </c>
      <c r="P96" s="24"/>
      <c r="Q96" s="27">
        <f>SUM(Q80:Q95)</f>
        <v>-432881.57666666666</v>
      </c>
      <c r="R96" s="24"/>
      <c r="S96" s="27">
        <f>SUM(S80:S95)</f>
        <v>-161431.57666666666</v>
      </c>
    </row>
    <row r="97" spans="1:21" x14ac:dyDescent="0.25">
      <c r="A97" s="5" t="s">
        <v>33</v>
      </c>
      <c r="B97" s="20"/>
      <c r="C97" s="4"/>
      <c r="D97" s="4"/>
      <c r="E97" s="24"/>
      <c r="F97" s="26"/>
      <c r="G97" s="26"/>
      <c r="H97" s="26"/>
      <c r="I97" s="26"/>
      <c r="J97" s="26"/>
      <c r="K97" s="26"/>
      <c r="L97" s="45"/>
      <c r="M97" s="26"/>
      <c r="N97" s="26"/>
      <c r="O97" s="26"/>
      <c r="P97" s="26"/>
      <c r="Q97" s="26"/>
      <c r="R97" s="26"/>
      <c r="S97" s="26"/>
    </row>
    <row r="98" spans="1:21" x14ac:dyDescent="0.25">
      <c r="A98" s="2"/>
      <c r="B98" s="20">
        <v>7001</v>
      </c>
      <c r="C98" t="s">
        <v>76</v>
      </c>
      <c r="D98" s="19"/>
      <c r="E98" s="24">
        <v>-16000</v>
      </c>
      <c r="F98" s="26"/>
      <c r="G98" s="26">
        <f>'Mapping Data'!G107</f>
        <v>-12800</v>
      </c>
      <c r="H98" s="26"/>
      <c r="I98" s="26">
        <f>'Mapping Data'!F107</f>
        <v>-15262.16</v>
      </c>
      <c r="J98" s="26"/>
      <c r="K98" s="26">
        <f t="shared" ref="K98:K106" si="49">I98-G98</f>
        <v>-2462.16</v>
      </c>
      <c r="L98" s="45"/>
      <c r="M98" s="192" t="s">
        <v>116</v>
      </c>
      <c r="N98" s="193"/>
      <c r="O98" s="198">
        <f t="shared" ref="O98:O106" si="50">IF(M98="Average of YTD",I98/$X$4*$Y$4)+IF(M98="Budget",E98-I98)+IF(M98="Hard coded - Actual TY Projection",N98-I98)+IF(M98="Hard coded - Remaining Year Projection",N98)+IF(M98="Payroll 12 months",I98/$X$7*Y$7)+IF(M98="Payroll 11 months",I98/$X$10*$Y$10)+IF(M98="Zero","0.00")+IF(M98="Clearing",-I98)</f>
        <v>-737.84000000000015</v>
      </c>
      <c r="P98" s="26"/>
      <c r="Q98" s="26">
        <f t="shared" ref="Q98:Q106" si="51">O98+I98</f>
        <v>-16000</v>
      </c>
      <c r="R98" s="26"/>
      <c r="S98" s="26">
        <f t="shared" ref="S98:S106" si="52">Q98-E98</f>
        <v>0</v>
      </c>
      <c r="U98" s="94" t="s">
        <v>493</v>
      </c>
    </row>
    <row r="99" spans="1:21" ht="30" x14ac:dyDescent="0.25">
      <c r="A99" s="2"/>
      <c r="B99" s="20">
        <v>7002</v>
      </c>
      <c r="C99" t="s">
        <v>77</v>
      </c>
      <c r="D99" s="19"/>
      <c r="E99" s="24">
        <v>-33000</v>
      </c>
      <c r="F99" s="26"/>
      <c r="G99" s="26">
        <f>'Mapping Data'!G108</f>
        <v>-22000</v>
      </c>
      <c r="H99" s="26"/>
      <c r="I99" s="26">
        <f>'Mapping Data'!F108</f>
        <v>-18673.080000000002</v>
      </c>
      <c r="J99" s="26"/>
      <c r="K99" s="26">
        <f t="shared" si="49"/>
        <v>3326.9199999999983</v>
      </c>
      <c r="L99" s="45"/>
      <c r="M99" s="192" t="s">
        <v>518</v>
      </c>
      <c r="N99" s="193">
        <f>-2600*4</f>
        <v>-10400</v>
      </c>
      <c r="O99" s="198">
        <f t="shared" si="50"/>
        <v>-10400</v>
      </c>
      <c r="P99" s="26"/>
      <c r="Q99" s="26">
        <f t="shared" si="51"/>
        <v>-29073.08</v>
      </c>
      <c r="R99" s="26"/>
      <c r="S99" s="26">
        <f t="shared" si="52"/>
        <v>3926.9199999999983</v>
      </c>
      <c r="U99" s="94" t="s">
        <v>214</v>
      </c>
    </row>
    <row r="100" spans="1:21" x14ac:dyDescent="0.25">
      <c r="A100" s="2"/>
      <c r="B100" s="20">
        <v>7003</v>
      </c>
      <c r="C100" t="s">
        <v>78</v>
      </c>
      <c r="D100" s="19"/>
      <c r="E100" s="24">
        <v>-6000</v>
      </c>
      <c r="F100" s="26"/>
      <c r="G100" s="26">
        <f>'Mapping Data'!G109</f>
        <v>-4000</v>
      </c>
      <c r="H100" s="26"/>
      <c r="I100" s="26">
        <f>'Mapping Data'!F109</f>
        <v>-3514.37</v>
      </c>
      <c r="J100" s="26"/>
      <c r="K100" s="26">
        <f t="shared" si="49"/>
        <v>485.63000000000011</v>
      </c>
      <c r="L100" s="45"/>
      <c r="M100" s="192" t="s">
        <v>116</v>
      </c>
      <c r="N100" s="193"/>
      <c r="O100" s="198">
        <f t="shared" si="50"/>
        <v>-2485.63</v>
      </c>
      <c r="P100" s="26"/>
      <c r="Q100" s="26">
        <f t="shared" si="51"/>
        <v>-6000</v>
      </c>
      <c r="R100" s="26"/>
      <c r="S100" s="26">
        <f t="shared" si="52"/>
        <v>0</v>
      </c>
      <c r="U100" s="94" t="s">
        <v>431</v>
      </c>
    </row>
    <row r="101" spans="1:21" x14ac:dyDescent="0.25">
      <c r="A101" s="2"/>
      <c r="B101" s="20">
        <v>7004</v>
      </c>
      <c r="C101" t="s">
        <v>79</v>
      </c>
      <c r="D101" s="19"/>
      <c r="E101" s="24">
        <v>-6000</v>
      </c>
      <c r="F101" s="26"/>
      <c r="G101" s="26">
        <f>'Mapping Data'!G110</f>
        <v>-4000</v>
      </c>
      <c r="H101" s="26"/>
      <c r="I101" s="26">
        <f>'Mapping Data'!F110</f>
        <v>-6651.52</v>
      </c>
      <c r="J101" s="26"/>
      <c r="K101" s="26">
        <f t="shared" si="49"/>
        <v>-2651.5200000000004</v>
      </c>
      <c r="L101" s="45"/>
      <c r="M101" s="192" t="s">
        <v>517</v>
      </c>
      <c r="N101" s="193"/>
      <c r="O101" s="198">
        <f t="shared" si="50"/>
        <v>-3325.76</v>
      </c>
      <c r="P101" s="26"/>
      <c r="Q101" s="26">
        <f t="shared" si="51"/>
        <v>-9977.2800000000007</v>
      </c>
      <c r="R101" s="26"/>
      <c r="S101" s="26">
        <f t="shared" si="52"/>
        <v>-3977.2800000000007</v>
      </c>
      <c r="U101" s="94" t="s">
        <v>544</v>
      </c>
    </row>
    <row r="102" spans="1:21" x14ac:dyDescent="0.25">
      <c r="A102" s="2"/>
      <c r="B102" s="20">
        <v>7005</v>
      </c>
      <c r="C102" t="s">
        <v>80</v>
      </c>
      <c r="D102" s="19"/>
      <c r="E102" s="24">
        <v>-4000</v>
      </c>
      <c r="F102" s="26"/>
      <c r="G102" s="26">
        <f>'Mapping Data'!G111</f>
        <v>-2664</v>
      </c>
      <c r="H102" s="26"/>
      <c r="I102" s="26">
        <f>'Mapping Data'!F111</f>
        <v>-5364.74</v>
      </c>
      <c r="J102" s="26"/>
      <c r="K102" s="26">
        <f t="shared" si="49"/>
        <v>-2700.74</v>
      </c>
      <c r="L102" s="45"/>
      <c r="M102" s="192" t="s">
        <v>517</v>
      </c>
      <c r="N102" s="193"/>
      <c r="O102" s="198">
        <f t="shared" si="50"/>
        <v>-2682.37</v>
      </c>
      <c r="P102" s="26"/>
      <c r="Q102" s="26">
        <f t="shared" si="51"/>
        <v>-8047.11</v>
      </c>
      <c r="R102" s="26"/>
      <c r="S102" s="26">
        <f t="shared" si="52"/>
        <v>-4047.1099999999997</v>
      </c>
      <c r="U102" s="94" t="s">
        <v>210</v>
      </c>
    </row>
    <row r="103" spans="1:21" ht="30" x14ac:dyDescent="0.25">
      <c r="A103" s="2"/>
      <c r="B103" s="20">
        <v>7006</v>
      </c>
      <c r="C103" t="s">
        <v>81</v>
      </c>
      <c r="D103" s="19"/>
      <c r="E103" s="24">
        <v>-10000</v>
      </c>
      <c r="F103" s="26"/>
      <c r="G103" s="26">
        <f>'Mapping Data'!G112</f>
        <v>-6664</v>
      </c>
      <c r="H103" s="26"/>
      <c r="I103" s="26">
        <f>'Mapping Data'!F112</f>
        <v>-20893.84</v>
      </c>
      <c r="J103" s="26"/>
      <c r="K103" s="26">
        <f t="shared" si="49"/>
        <v>-14229.84</v>
      </c>
      <c r="L103" s="45"/>
      <c r="M103" s="192" t="s">
        <v>515</v>
      </c>
      <c r="N103" s="193">
        <v>-25000</v>
      </c>
      <c r="O103" s="201">
        <f t="shared" si="50"/>
        <v>-4106.16</v>
      </c>
      <c r="P103" s="26"/>
      <c r="Q103" s="26">
        <f t="shared" si="51"/>
        <v>-25000</v>
      </c>
      <c r="R103" s="26"/>
      <c r="S103" s="26">
        <f t="shared" si="52"/>
        <v>-15000</v>
      </c>
      <c r="U103" s="94" t="s">
        <v>537</v>
      </c>
    </row>
    <row r="104" spans="1:21" x14ac:dyDescent="0.25">
      <c r="A104" s="2"/>
      <c r="B104" s="20">
        <v>7007</v>
      </c>
      <c r="C104" t="s">
        <v>82</v>
      </c>
      <c r="D104" s="19"/>
      <c r="E104" s="24">
        <v>-500</v>
      </c>
      <c r="F104" s="26"/>
      <c r="G104" s="26">
        <f>'Mapping Data'!G113</f>
        <v>-336</v>
      </c>
      <c r="H104" s="26"/>
      <c r="I104" s="26">
        <f>'Mapping Data'!F113</f>
        <v>0</v>
      </c>
      <c r="J104" s="26"/>
      <c r="K104" s="26">
        <f t="shared" si="49"/>
        <v>336</v>
      </c>
      <c r="L104" s="45"/>
      <c r="M104" s="192" t="s">
        <v>116</v>
      </c>
      <c r="N104" s="193"/>
      <c r="O104" s="198">
        <f t="shared" si="50"/>
        <v>-500</v>
      </c>
      <c r="P104" s="26"/>
      <c r="Q104" s="26">
        <f t="shared" si="51"/>
        <v>-500</v>
      </c>
      <c r="R104" s="26"/>
      <c r="S104" s="26">
        <f t="shared" si="52"/>
        <v>0</v>
      </c>
      <c r="U104" s="94" t="s">
        <v>431</v>
      </c>
    </row>
    <row r="105" spans="1:21" ht="30" x14ac:dyDescent="0.25">
      <c r="A105" s="2"/>
      <c r="B105" s="20">
        <v>7008</v>
      </c>
      <c r="C105" t="s">
        <v>83</v>
      </c>
      <c r="D105" s="19"/>
      <c r="E105" s="24">
        <v>-5000</v>
      </c>
      <c r="F105" s="26"/>
      <c r="G105" s="26">
        <f>'Mapping Data'!G114</f>
        <v>-3336</v>
      </c>
      <c r="H105" s="26"/>
      <c r="I105" s="26">
        <f>'Mapping Data'!F114</f>
        <v>-4419.72</v>
      </c>
      <c r="J105" s="26"/>
      <c r="K105" s="26">
        <f t="shared" si="49"/>
        <v>-1083.7200000000003</v>
      </c>
      <c r="L105" s="45"/>
      <c r="M105" s="192" t="s">
        <v>515</v>
      </c>
      <c r="N105" s="193">
        <v>-10000</v>
      </c>
      <c r="O105" s="198">
        <f t="shared" si="50"/>
        <v>-5580.28</v>
      </c>
      <c r="P105" s="26"/>
      <c r="Q105" s="26">
        <f t="shared" si="51"/>
        <v>-10000</v>
      </c>
      <c r="R105" s="26"/>
      <c r="S105" s="26">
        <f t="shared" si="52"/>
        <v>-5000</v>
      </c>
      <c r="U105" s="94" t="s">
        <v>433</v>
      </c>
    </row>
    <row r="106" spans="1:21" x14ac:dyDescent="0.25">
      <c r="A106" s="2"/>
      <c r="B106" s="20">
        <v>7010</v>
      </c>
      <c r="C106" t="s">
        <v>84</v>
      </c>
      <c r="D106" s="19"/>
      <c r="E106" s="24">
        <v>-3000</v>
      </c>
      <c r="F106" s="26"/>
      <c r="G106" s="26">
        <f>'Mapping Data'!G115</f>
        <v>-2400</v>
      </c>
      <c r="H106" s="26"/>
      <c r="I106" s="26">
        <f>'Mapping Data'!F115</f>
        <v>-2962.26</v>
      </c>
      <c r="J106" s="26"/>
      <c r="K106" s="26">
        <f t="shared" si="49"/>
        <v>-562.26000000000022</v>
      </c>
      <c r="L106" s="45"/>
      <c r="M106" s="192" t="s">
        <v>116</v>
      </c>
      <c r="N106" s="193"/>
      <c r="O106" s="198">
        <f t="shared" si="50"/>
        <v>-37.739999999999782</v>
      </c>
      <c r="P106" s="26"/>
      <c r="Q106" s="26">
        <f t="shared" si="51"/>
        <v>-3000</v>
      </c>
      <c r="R106" s="26"/>
      <c r="S106" s="26">
        <f t="shared" si="52"/>
        <v>0</v>
      </c>
      <c r="U106" s="94" t="s">
        <v>431</v>
      </c>
    </row>
    <row r="107" spans="1:21" x14ac:dyDescent="0.25">
      <c r="A107" s="2"/>
      <c r="B107" s="20"/>
      <c r="C107" s="11" t="s">
        <v>7</v>
      </c>
      <c r="D107" s="11"/>
      <c r="E107" s="27">
        <f>SUM(E98:E106)</f>
        <v>-83500</v>
      </c>
      <c r="F107" s="26"/>
      <c r="G107" s="27">
        <f>SUM(G98:G106)</f>
        <v>-58200</v>
      </c>
      <c r="H107" s="24"/>
      <c r="I107" s="27">
        <f>SUM(I98:I106)</f>
        <v>-77741.69</v>
      </c>
      <c r="J107" s="24"/>
      <c r="K107" s="27">
        <f>SUM(K98:K106)</f>
        <v>-19541.690000000002</v>
      </c>
      <c r="L107" s="41">
        <f>SUM(L98:L106)</f>
        <v>0</v>
      </c>
      <c r="M107" s="27"/>
      <c r="N107" s="27"/>
      <c r="O107" s="27">
        <f>SUM(O98:O106)</f>
        <v>-29855.78</v>
      </c>
      <c r="P107" s="24"/>
      <c r="Q107" s="27">
        <f>SUM(Q98:Q106)</f>
        <v>-107597.47</v>
      </c>
      <c r="R107" s="24"/>
      <c r="S107" s="27">
        <f>SUM(S98:S106)</f>
        <v>-24097.47</v>
      </c>
    </row>
    <row r="108" spans="1:21" x14ac:dyDescent="0.25">
      <c r="A108" s="5" t="s">
        <v>34</v>
      </c>
      <c r="B108" s="20"/>
      <c r="C108" s="4"/>
      <c r="D108" s="4"/>
      <c r="E108" s="24"/>
      <c r="F108" s="26"/>
      <c r="G108" s="26"/>
      <c r="H108" s="26"/>
      <c r="I108" s="26"/>
      <c r="J108" s="26"/>
      <c r="K108" s="26"/>
      <c r="L108" s="45"/>
      <c r="M108" s="26"/>
      <c r="N108" s="26"/>
      <c r="O108" s="26"/>
      <c r="P108" s="26"/>
      <c r="Q108" s="26"/>
      <c r="R108" s="26"/>
      <c r="S108" s="26"/>
    </row>
    <row r="109" spans="1:21" x14ac:dyDescent="0.25">
      <c r="A109" s="2"/>
      <c r="B109" s="20">
        <v>7101</v>
      </c>
      <c r="C109" t="s">
        <v>85</v>
      </c>
      <c r="D109" s="19"/>
      <c r="E109" s="24">
        <v>-20000</v>
      </c>
      <c r="F109" s="26"/>
      <c r="G109" s="26">
        <f>'Mapping Data'!G118</f>
        <v>0</v>
      </c>
      <c r="H109" s="26"/>
      <c r="I109" s="26">
        <f>'Mapping Data'!F118</f>
        <v>0</v>
      </c>
      <c r="J109" s="26"/>
      <c r="K109" s="26">
        <f t="shared" ref="K109:K119" si="53">I109-G109</f>
        <v>0</v>
      </c>
      <c r="L109" s="45"/>
      <c r="M109" s="192" t="s">
        <v>116</v>
      </c>
      <c r="N109" s="193"/>
      <c r="O109" s="198">
        <f t="shared" ref="O109:O119" si="54">IF(M109="Average of YTD",I109/$X$4*$Y$4)+IF(M109="Budget",E109-I109)+IF(M109="Hard coded - Actual TY Projection",N109-I109)+IF(M109="Hard coded - Remaining Year Projection",N109)+IF(M109="Payroll 12 months",I109/$X$7*Y$7)+IF(M109="Payroll 11 months",I109/$X$10*$Y$10)+IF(M109="Zero","0.00")+IF(M109="Clearing",-I109)</f>
        <v>-20000</v>
      </c>
      <c r="P109" s="26"/>
      <c r="Q109" s="26">
        <f t="shared" ref="Q109:Q119" si="55">O109+I109</f>
        <v>-20000</v>
      </c>
      <c r="R109" s="26"/>
      <c r="S109" s="26">
        <f t="shared" ref="S109:S119" si="56">Q109-E109</f>
        <v>0</v>
      </c>
      <c r="U109" s="94" t="s">
        <v>431</v>
      </c>
    </row>
    <row r="110" spans="1:21" x14ac:dyDescent="0.25">
      <c r="A110" s="2"/>
      <c r="B110" s="20">
        <v>7102</v>
      </c>
      <c r="C110" s="97" t="s">
        <v>86</v>
      </c>
      <c r="D110" s="19"/>
      <c r="E110" s="24">
        <v>-90000</v>
      </c>
      <c r="F110" s="26"/>
      <c r="G110" s="26">
        <f>'Mapping Data'!G119</f>
        <v>-60000</v>
      </c>
      <c r="H110" s="26"/>
      <c r="I110" s="26">
        <f>'Mapping Data'!F119</f>
        <v>-62492.46</v>
      </c>
      <c r="J110" s="26"/>
      <c r="K110" s="26">
        <f t="shared" si="53"/>
        <v>-2492.4599999999991</v>
      </c>
      <c r="L110" s="45"/>
      <c r="M110" s="192" t="s">
        <v>116</v>
      </c>
      <c r="N110" s="193"/>
      <c r="O110" s="198">
        <f t="shared" si="54"/>
        <v>-27507.54</v>
      </c>
      <c r="P110" s="26"/>
      <c r="Q110" s="26">
        <f t="shared" si="55"/>
        <v>-90000</v>
      </c>
      <c r="R110" s="26"/>
      <c r="S110" s="26">
        <f t="shared" si="56"/>
        <v>0</v>
      </c>
      <c r="U110" s="94" t="s">
        <v>493</v>
      </c>
    </row>
    <row r="111" spans="1:21" ht="30" x14ac:dyDescent="0.25">
      <c r="A111" s="2"/>
      <c r="B111" s="20">
        <v>7104</v>
      </c>
      <c r="C111" t="s">
        <v>87</v>
      </c>
      <c r="D111" s="19"/>
      <c r="E111" s="24">
        <v>-32000</v>
      </c>
      <c r="F111" s="26"/>
      <c r="G111" s="26">
        <f>'Mapping Data'!G120</f>
        <v>-21336</v>
      </c>
      <c r="H111" s="26"/>
      <c r="I111" s="26">
        <f>'Mapping Data'!F120</f>
        <v>-51320.1</v>
      </c>
      <c r="J111" s="26"/>
      <c r="K111" s="26">
        <f t="shared" si="53"/>
        <v>-29984.1</v>
      </c>
      <c r="L111" s="45"/>
      <c r="M111" s="192" t="s">
        <v>515</v>
      </c>
      <c r="N111" s="193">
        <v>-80000</v>
      </c>
      <c r="O111" s="198">
        <f t="shared" si="54"/>
        <v>-28679.9</v>
      </c>
      <c r="P111" s="26"/>
      <c r="Q111" s="26">
        <f t="shared" si="55"/>
        <v>-80000</v>
      </c>
      <c r="R111" s="26"/>
      <c r="S111" s="26">
        <f t="shared" si="56"/>
        <v>-48000</v>
      </c>
      <c r="U111" s="94" t="s">
        <v>463</v>
      </c>
    </row>
    <row r="112" spans="1:21" x14ac:dyDescent="0.25">
      <c r="A112" s="2"/>
      <c r="B112" s="20">
        <v>7105</v>
      </c>
      <c r="C112" t="s">
        <v>88</v>
      </c>
      <c r="D112" s="19"/>
      <c r="E112" s="24">
        <v>-6000</v>
      </c>
      <c r="F112" s="26"/>
      <c r="G112" s="26">
        <f>'Mapping Data'!G121</f>
        <v>-4000</v>
      </c>
      <c r="H112" s="26"/>
      <c r="I112" s="26">
        <f>'Mapping Data'!F121</f>
        <v>-3385.66</v>
      </c>
      <c r="J112" s="26"/>
      <c r="K112" s="26">
        <f t="shared" si="53"/>
        <v>614.34000000000015</v>
      </c>
      <c r="L112" s="45"/>
      <c r="M112" s="192" t="s">
        <v>116</v>
      </c>
      <c r="N112" s="193"/>
      <c r="O112" s="198">
        <f t="shared" si="54"/>
        <v>-2614.34</v>
      </c>
      <c r="P112" s="26"/>
      <c r="Q112" s="26">
        <f t="shared" si="55"/>
        <v>-6000</v>
      </c>
      <c r="R112" s="26"/>
      <c r="S112" s="26">
        <f t="shared" si="56"/>
        <v>0</v>
      </c>
      <c r="U112" s="94" t="s">
        <v>431</v>
      </c>
    </row>
    <row r="113" spans="1:21" ht="30" x14ac:dyDescent="0.25">
      <c r="A113" s="2"/>
      <c r="B113" s="20">
        <v>7108</v>
      </c>
      <c r="C113" t="s">
        <v>89</v>
      </c>
      <c r="D113" s="19"/>
      <c r="E113" s="24">
        <v>-10000</v>
      </c>
      <c r="F113" s="26"/>
      <c r="G113" s="26">
        <f>'Mapping Data'!G122</f>
        <v>-6664</v>
      </c>
      <c r="H113" s="26"/>
      <c r="I113" s="26">
        <f>'Mapping Data'!F122</f>
        <v>0</v>
      </c>
      <c r="J113" s="26"/>
      <c r="K113" s="26">
        <f t="shared" si="53"/>
        <v>6664</v>
      </c>
      <c r="L113" s="45"/>
      <c r="M113" s="192" t="s">
        <v>515</v>
      </c>
      <c r="N113" s="193">
        <v>-5000</v>
      </c>
      <c r="O113" s="198">
        <f t="shared" si="54"/>
        <v>-5000</v>
      </c>
      <c r="P113" s="26"/>
      <c r="Q113" s="26">
        <f t="shared" si="55"/>
        <v>-5000</v>
      </c>
      <c r="R113" s="26"/>
      <c r="S113" s="26">
        <f t="shared" si="56"/>
        <v>5000</v>
      </c>
      <c r="U113" s="94" t="s">
        <v>434</v>
      </c>
    </row>
    <row r="114" spans="1:21" x14ac:dyDescent="0.25">
      <c r="A114" s="2"/>
      <c r="B114" s="20">
        <v>7111</v>
      </c>
      <c r="C114" t="s">
        <v>90</v>
      </c>
      <c r="D114" s="19"/>
      <c r="E114" s="24">
        <v>-14000</v>
      </c>
      <c r="F114" s="26"/>
      <c r="G114" s="26">
        <f>'Mapping Data'!G123</f>
        <v>-8400</v>
      </c>
      <c r="H114" s="26"/>
      <c r="I114" s="26">
        <f>'Mapping Data'!F123</f>
        <v>0</v>
      </c>
      <c r="J114" s="26"/>
      <c r="K114" s="26">
        <f t="shared" si="53"/>
        <v>8400</v>
      </c>
      <c r="L114" s="45"/>
      <c r="M114" s="192" t="s">
        <v>116</v>
      </c>
      <c r="N114" s="193"/>
      <c r="O114" s="198">
        <f t="shared" si="54"/>
        <v>-14000</v>
      </c>
      <c r="P114" s="26"/>
      <c r="Q114" s="26">
        <f t="shared" si="55"/>
        <v>-14000</v>
      </c>
      <c r="R114" s="26"/>
      <c r="S114" s="26">
        <f t="shared" si="56"/>
        <v>0</v>
      </c>
      <c r="U114" s="94" t="s">
        <v>431</v>
      </c>
    </row>
    <row r="115" spans="1:21" ht="45" x14ac:dyDescent="0.25">
      <c r="A115" s="2"/>
      <c r="B115" s="20">
        <v>7113</v>
      </c>
      <c r="C115" s="97" t="s">
        <v>91</v>
      </c>
      <c r="D115" s="19"/>
      <c r="E115" s="24">
        <v>-60000</v>
      </c>
      <c r="F115" s="26"/>
      <c r="G115" s="26">
        <f>'Mapping Data'!G124</f>
        <v>-40000</v>
      </c>
      <c r="H115" s="26"/>
      <c r="I115" s="26">
        <f>'Mapping Data'!F124</f>
        <v>-50370.42</v>
      </c>
      <c r="J115" s="26"/>
      <c r="K115" s="26">
        <f t="shared" si="53"/>
        <v>-10370.419999999998</v>
      </c>
      <c r="L115" s="45"/>
      <c r="M115" s="192" t="s">
        <v>515</v>
      </c>
      <c r="N115" s="193">
        <v>-80000</v>
      </c>
      <c r="O115" s="198">
        <f t="shared" si="54"/>
        <v>-29629.58</v>
      </c>
      <c r="P115" s="26"/>
      <c r="Q115" s="26">
        <f t="shared" si="55"/>
        <v>-80000</v>
      </c>
      <c r="R115" s="26"/>
      <c r="S115" s="26">
        <f t="shared" si="56"/>
        <v>-20000</v>
      </c>
      <c r="U115" s="94" t="s">
        <v>435</v>
      </c>
    </row>
    <row r="116" spans="1:21" x14ac:dyDescent="0.25">
      <c r="A116" s="2"/>
      <c r="B116" s="20">
        <v>7115</v>
      </c>
      <c r="C116" s="97" t="s">
        <v>439</v>
      </c>
      <c r="D116" s="19"/>
      <c r="E116" s="24">
        <v>0</v>
      </c>
      <c r="F116" s="26"/>
      <c r="G116" s="26">
        <f>'Mapping Data'!G125</f>
        <v>0</v>
      </c>
      <c r="H116" s="26"/>
      <c r="I116" s="26">
        <f>'Mapping Data'!F125</f>
        <v>-37890</v>
      </c>
      <c r="J116" s="26"/>
      <c r="K116" s="26">
        <f t="shared" ref="K116" si="57">I116-G116</f>
        <v>-37890</v>
      </c>
      <c r="L116" s="45"/>
      <c r="M116" s="192" t="s">
        <v>515</v>
      </c>
      <c r="N116" s="193">
        <v>-101000</v>
      </c>
      <c r="O116" s="198">
        <f t="shared" si="54"/>
        <v>-63110</v>
      </c>
      <c r="P116" s="26"/>
      <c r="Q116" s="26">
        <f t="shared" ref="Q116" si="58">O116+I116</f>
        <v>-101000</v>
      </c>
      <c r="R116" s="26"/>
      <c r="S116" s="26">
        <f t="shared" ref="S116" si="59">Q116-E116</f>
        <v>-101000</v>
      </c>
      <c r="U116" s="94" t="s">
        <v>464</v>
      </c>
    </row>
    <row r="117" spans="1:21" ht="30" x14ac:dyDescent="0.25">
      <c r="A117" s="2"/>
      <c r="B117" s="20">
        <v>7116</v>
      </c>
      <c r="C117" t="s">
        <v>92</v>
      </c>
      <c r="D117" s="19"/>
      <c r="E117" s="24">
        <v>-15000</v>
      </c>
      <c r="F117" s="26"/>
      <c r="G117" s="26">
        <f>'Mapping Data'!G126</f>
        <v>-10000</v>
      </c>
      <c r="H117" s="26"/>
      <c r="I117" s="26">
        <f>'Mapping Data'!F126</f>
        <v>0</v>
      </c>
      <c r="J117" s="26"/>
      <c r="K117" s="26">
        <f t="shared" si="53"/>
        <v>10000</v>
      </c>
      <c r="L117" s="45"/>
      <c r="M117" s="192" t="s">
        <v>515</v>
      </c>
      <c r="N117" s="193">
        <v>-3000</v>
      </c>
      <c r="O117" s="198">
        <f t="shared" si="54"/>
        <v>-3000</v>
      </c>
      <c r="P117" s="26"/>
      <c r="Q117" s="26">
        <f t="shared" si="55"/>
        <v>-3000</v>
      </c>
      <c r="R117" s="26"/>
      <c r="S117" s="26">
        <f t="shared" si="56"/>
        <v>12000</v>
      </c>
      <c r="U117" s="94" t="s">
        <v>436</v>
      </c>
    </row>
    <row r="118" spans="1:21" x14ac:dyDescent="0.25">
      <c r="A118" s="2"/>
      <c r="B118" s="20">
        <v>7117</v>
      </c>
      <c r="C118" t="s">
        <v>93</v>
      </c>
      <c r="D118" s="19"/>
      <c r="E118" s="24">
        <v>-1000</v>
      </c>
      <c r="F118" s="26"/>
      <c r="G118" s="26">
        <f>'Mapping Data'!G127</f>
        <v>-664</v>
      </c>
      <c r="H118" s="26"/>
      <c r="I118" s="26">
        <f>'Mapping Data'!F127</f>
        <v>0</v>
      </c>
      <c r="J118" s="26"/>
      <c r="K118" s="26">
        <f t="shared" si="53"/>
        <v>664</v>
      </c>
      <c r="L118" s="45"/>
      <c r="M118" s="192" t="s">
        <v>116</v>
      </c>
      <c r="N118" s="193"/>
      <c r="O118" s="198">
        <f t="shared" si="54"/>
        <v>-1000</v>
      </c>
      <c r="P118" s="26"/>
      <c r="Q118" s="26">
        <f t="shared" si="55"/>
        <v>-1000</v>
      </c>
      <c r="R118" s="26"/>
      <c r="S118" s="26">
        <f t="shared" si="56"/>
        <v>0</v>
      </c>
      <c r="U118" s="94" t="s">
        <v>431</v>
      </c>
    </row>
    <row r="119" spans="1:21" x14ac:dyDescent="0.25">
      <c r="A119" s="2"/>
      <c r="B119" s="20">
        <v>7118</v>
      </c>
      <c r="C119" s="97" t="s">
        <v>94</v>
      </c>
      <c r="D119" s="19"/>
      <c r="E119" s="24">
        <v>-25000</v>
      </c>
      <c r="F119" s="26"/>
      <c r="G119" s="26">
        <f>'Mapping Data'!G128</f>
        <v>-15911</v>
      </c>
      <c r="H119" s="26"/>
      <c r="I119" s="26">
        <f>'Mapping Data'!F128</f>
        <v>-4462.5</v>
      </c>
      <c r="J119" s="26"/>
      <c r="K119" s="26">
        <f t="shared" si="53"/>
        <v>11448.5</v>
      </c>
      <c r="L119" s="45"/>
      <c r="M119" s="192" t="s">
        <v>116</v>
      </c>
      <c r="N119" s="193"/>
      <c r="O119" s="198">
        <f t="shared" si="54"/>
        <v>-20537.5</v>
      </c>
      <c r="P119" s="26"/>
      <c r="Q119" s="26">
        <f t="shared" si="55"/>
        <v>-25000</v>
      </c>
      <c r="R119" s="26"/>
      <c r="S119" s="26">
        <f t="shared" si="56"/>
        <v>0</v>
      </c>
      <c r="U119" s="94" t="s">
        <v>431</v>
      </c>
    </row>
    <row r="120" spans="1:21" x14ac:dyDescent="0.25">
      <c r="A120" s="2"/>
      <c r="B120" s="20"/>
      <c r="C120" s="11" t="s">
        <v>7</v>
      </c>
      <c r="D120" s="11"/>
      <c r="E120" s="27">
        <f>SUM(E109:E119)</f>
        <v>-273000</v>
      </c>
      <c r="F120" s="26"/>
      <c r="G120" s="27">
        <f>SUM(G109:G119)</f>
        <v>-166975</v>
      </c>
      <c r="H120" s="24"/>
      <c r="I120" s="27">
        <f>SUM(I109:I119)</f>
        <v>-209921.14</v>
      </c>
      <c r="J120" s="24"/>
      <c r="K120" s="27">
        <f>SUM(K109:K119)</f>
        <v>-42946.14</v>
      </c>
      <c r="L120" s="41">
        <f>SUM(L109:L119)</f>
        <v>0</v>
      </c>
      <c r="M120" s="27"/>
      <c r="N120" s="27"/>
      <c r="O120" s="27">
        <f>SUM(O109:O119)</f>
        <v>-215078.86</v>
      </c>
      <c r="P120" s="24"/>
      <c r="Q120" s="27">
        <f>SUM(Q109:Q119)</f>
        <v>-425000</v>
      </c>
      <c r="R120" s="24"/>
      <c r="S120" s="27">
        <f>SUM(S109:S119)</f>
        <v>-152000</v>
      </c>
    </row>
    <row r="121" spans="1:21" x14ac:dyDescent="0.25">
      <c r="A121" s="5" t="s">
        <v>35</v>
      </c>
      <c r="B121" s="20"/>
      <c r="C121" s="4"/>
      <c r="D121" s="4"/>
      <c r="E121" s="24"/>
      <c r="F121" s="26"/>
      <c r="G121" s="26"/>
      <c r="H121" s="26"/>
      <c r="I121" s="26"/>
      <c r="J121" s="26"/>
      <c r="K121" s="26"/>
      <c r="L121" s="45"/>
      <c r="M121" s="26"/>
      <c r="N121" s="26"/>
      <c r="O121" s="26"/>
      <c r="P121" s="26"/>
      <c r="Q121" s="26"/>
      <c r="R121" s="26"/>
      <c r="S121" s="26"/>
    </row>
    <row r="122" spans="1:21" x14ac:dyDescent="0.25">
      <c r="A122" s="2"/>
      <c r="B122" s="20">
        <v>7201</v>
      </c>
      <c r="C122" t="s">
        <v>95</v>
      </c>
      <c r="D122" s="19"/>
      <c r="E122" s="24">
        <v>-27828</v>
      </c>
      <c r="F122" s="26"/>
      <c r="G122" s="26">
        <f>'Mapping Data'!G131</f>
        <v>-18552</v>
      </c>
      <c r="H122" s="26"/>
      <c r="I122" s="26">
        <f>'Mapping Data'!F131</f>
        <v>-17756.87</v>
      </c>
      <c r="J122" s="26"/>
      <c r="K122" s="26">
        <f>I122-G122</f>
        <v>795.13000000000102</v>
      </c>
      <c r="L122" s="45"/>
      <c r="M122" s="192" t="s">
        <v>517</v>
      </c>
      <c r="N122" s="193"/>
      <c r="O122" s="198">
        <f t="shared" ref="O122" si="60">IF(M122="Average of YTD",I122/$X$4*$Y$4)+IF(M122="Budget",E122-I122)+IF(M122="Hard coded - Actual TY Projection",N122-I122)+IF(M122="Hard coded - Remaining Year Projection",N122)+IF(M122="Payroll 12 months",I122/$X$7*Y$7)+IF(M122="Payroll 11 months",I122/$X$10*$Y$10)+IF(M122="Zero","0.00")+IF(M122="Clearing",-I122)</f>
        <v>-8878.4349999999995</v>
      </c>
      <c r="P122" s="26"/>
      <c r="Q122" s="26">
        <f>O122+I122</f>
        <v>-26635.305</v>
      </c>
      <c r="R122" s="26"/>
      <c r="S122" s="26">
        <f>Q122-E122</f>
        <v>1192.6949999999997</v>
      </c>
      <c r="U122" s="94" t="s">
        <v>208</v>
      </c>
    </row>
    <row r="123" spans="1:21" x14ac:dyDescent="0.25">
      <c r="A123" s="2"/>
      <c r="B123" s="20"/>
      <c r="C123" s="11" t="s">
        <v>7</v>
      </c>
      <c r="D123" s="11"/>
      <c r="E123" s="27">
        <f>E122</f>
        <v>-27828</v>
      </c>
      <c r="F123" s="26"/>
      <c r="G123" s="27">
        <f t="shared" ref="G123:S123" si="61">G122</f>
        <v>-18552</v>
      </c>
      <c r="H123" s="24"/>
      <c r="I123" s="27">
        <f t="shared" si="61"/>
        <v>-17756.87</v>
      </c>
      <c r="J123" s="24"/>
      <c r="K123" s="27">
        <f t="shared" si="61"/>
        <v>795.13000000000102</v>
      </c>
      <c r="L123" s="41">
        <f t="shared" si="61"/>
        <v>0</v>
      </c>
      <c r="M123" s="27"/>
      <c r="N123" s="27"/>
      <c r="O123" s="27">
        <f t="shared" si="61"/>
        <v>-8878.4349999999995</v>
      </c>
      <c r="P123" s="24"/>
      <c r="Q123" s="27">
        <f t="shared" si="61"/>
        <v>-26635.305</v>
      </c>
      <c r="R123" s="24"/>
      <c r="S123" s="27">
        <f t="shared" si="61"/>
        <v>1192.6949999999997</v>
      </c>
    </row>
    <row r="124" spans="1:21" x14ac:dyDescent="0.25">
      <c r="A124" s="5" t="s">
        <v>36</v>
      </c>
      <c r="B124" s="20"/>
      <c r="C124" s="4"/>
      <c r="D124" s="4"/>
      <c r="E124" s="24"/>
      <c r="F124" s="26"/>
      <c r="G124" s="26"/>
      <c r="H124" s="26"/>
      <c r="I124" s="26"/>
      <c r="J124" s="26"/>
      <c r="K124" s="26"/>
      <c r="L124" s="45"/>
      <c r="M124" s="26"/>
      <c r="N124" s="26"/>
      <c r="O124" s="26"/>
      <c r="P124" s="26"/>
      <c r="Q124" s="26"/>
      <c r="R124" s="26"/>
      <c r="S124" s="26"/>
    </row>
    <row r="125" spans="1:21" ht="30" x14ac:dyDescent="0.25">
      <c r="A125" s="2"/>
      <c r="B125" s="20">
        <v>7301</v>
      </c>
      <c r="C125" t="s">
        <v>96</v>
      </c>
      <c r="D125" s="19"/>
      <c r="E125" s="24">
        <v>-75000</v>
      </c>
      <c r="F125" s="26"/>
      <c r="G125" s="26">
        <f>'Mapping Data'!G134</f>
        <v>-50000</v>
      </c>
      <c r="H125" s="26"/>
      <c r="I125" s="26">
        <f>'Mapping Data'!F134</f>
        <v>-42337.79</v>
      </c>
      <c r="J125" s="26"/>
      <c r="K125" s="26">
        <f t="shared" ref="K125:K126" si="62">I125-G125</f>
        <v>7662.2099999999991</v>
      </c>
      <c r="L125" s="45"/>
      <c r="M125" s="192" t="s">
        <v>515</v>
      </c>
      <c r="N125" s="193">
        <v>-100000</v>
      </c>
      <c r="O125" s="198">
        <f t="shared" ref="O125:O126" si="63">IF(M125="Average of YTD",I125/$X$4*$Y$4)+IF(M125="Budget",E125-I125)+IF(M125="Hard coded - Actual TY Projection",N125-I125)+IF(M125="Hard coded - Remaining Year Projection",N125)+IF(M125="Payroll 12 months",I125/$X$7*Y$7)+IF(M125="Payroll 11 months",I125/$X$10*$Y$10)+IF(M125="Zero","0.00")+IF(M125="Clearing",-I125)</f>
        <v>-57662.21</v>
      </c>
      <c r="P125" s="26"/>
      <c r="Q125" s="26">
        <f t="shared" ref="Q125:Q126" si="64">O125+I125</f>
        <v>-100000</v>
      </c>
      <c r="R125" s="26"/>
      <c r="S125" s="26">
        <f t="shared" ref="S125:S126" si="65">Q125-E125</f>
        <v>-25000</v>
      </c>
      <c r="U125" s="94" t="s">
        <v>437</v>
      </c>
    </row>
    <row r="126" spans="1:21" x14ac:dyDescent="0.25">
      <c r="A126" s="2"/>
      <c r="B126" s="20">
        <v>7304</v>
      </c>
      <c r="C126" t="s">
        <v>97</v>
      </c>
      <c r="D126" s="19"/>
      <c r="E126" s="24">
        <v>-5000</v>
      </c>
      <c r="F126" s="26"/>
      <c r="G126" s="26">
        <f>'Mapping Data'!G135</f>
        <v>-3336</v>
      </c>
      <c r="H126" s="26"/>
      <c r="I126" s="26">
        <f>'Mapping Data'!F135</f>
        <v>-784</v>
      </c>
      <c r="J126" s="26"/>
      <c r="K126" s="26">
        <f t="shared" si="62"/>
        <v>2552</v>
      </c>
      <c r="L126" s="45"/>
      <c r="M126" s="192" t="s">
        <v>116</v>
      </c>
      <c r="N126" s="193"/>
      <c r="O126" s="198">
        <f t="shared" si="63"/>
        <v>-4216</v>
      </c>
      <c r="P126" s="26"/>
      <c r="Q126" s="26">
        <f t="shared" si="64"/>
        <v>-5000</v>
      </c>
      <c r="R126" s="26"/>
      <c r="S126" s="26">
        <f t="shared" si="65"/>
        <v>0</v>
      </c>
      <c r="U126" s="94" t="s">
        <v>431</v>
      </c>
    </row>
    <row r="127" spans="1:21" x14ac:dyDescent="0.25">
      <c r="A127" s="2"/>
      <c r="B127" s="20" t="s">
        <v>0</v>
      </c>
      <c r="C127" s="11" t="s">
        <v>7</v>
      </c>
      <c r="D127" s="11"/>
      <c r="E127" s="27">
        <f>SUM(E125:E126)</f>
        <v>-80000</v>
      </c>
      <c r="F127" s="26"/>
      <c r="G127" s="27">
        <f t="shared" ref="G127:S127" si="66">SUM(G125:G126)</f>
        <v>-53336</v>
      </c>
      <c r="H127" s="24"/>
      <c r="I127" s="27">
        <f t="shared" si="66"/>
        <v>-43121.79</v>
      </c>
      <c r="J127" s="24"/>
      <c r="K127" s="27">
        <f t="shared" si="66"/>
        <v>10214.209999999999</v>
      </c>
      <c r="L127" s="41">
        <f t="shared" si="66"/>
        <v>0</v>
      </c>
      <c r="M127" s="27"/>
      <c r="N127" s="27"/>
      <c r="O127" s="27">
        <f t="shared" si="66"/>
        <v>-61878.21</v>
      </c>
      <c r="P127" s="24"/>
      <c r="Q127" s="27">
        <f t="shared" si="66"/>
        <v>-105000</v>
      </c>
      <c r="R127" s="24"/>
      <c r="S127" s="27">
        <f t="shared" si="66"/>
        <v>-25000</v>
      </c>
    </row>
    <row r="128" spans="1:21" x14ac:dyDescent="0.25">
      <c r="A128" s="5" t="s">
        <v>37</v>
      </c>
      <c r="B128" s="20"/>
      <c r="C128" s="4"/>
      <c r="D128" s="4"/>
      <c r="E128" s="24"/>
      <c r="F128" s="26"/>
      <c r="G128" s="26"/>
      <c r="H128" s="26"/>
      <c r="I128" s="26"/>
      <c r="J128" s="26"/>
      <c r="K128" s="26"/>
      <c r="L128" s="45"/>
      <c r="M128" s="26"/>
      <c r="N128" s="26"/>
      <c r="O128" s="26"/>
      <c r="P128" s="26"/>
      <c r="Q128" s="26"/>
      <c r="R128" s="26"/>
      <c r="S128" s="26"/>
    </row>
    <row r="129" spans="1:21" x14ac:dyDescent="0.25">
      <c r="A129" s="2"/>
      <c r="B129" s="20">
        <v>7401</v>
      </c>
      <c r="C129" t="s">
        <v>98</v>
      </c>
      <c r="D129" s="19"/>
      <c r="E129" s="24">
        <v>-20000</v>
      </c>
      <c r="F129" s="26"/>
      <c r="G129" s="26">
        <f>'Mapping Data'!G138</f>
        <v>-13336</v>
      </c>
      <c r="H129" s="26"/>
      <c r="I129" s="26">
        <f>'Mapping Data'!F138</f>
        <v>-7634.44</v>
      </c>
      <c r="J129" s="26"/>
      <c r="K129" s="26">
        <f t="shared" ref="K129:K132" si="67">I129-G129</f>
        <v>5701.56</v>
      </c>
      <c r="L129" s="45"/>
      <c r="M129" s="192" t="s">
        <v>116</v>
      </c>
      <c r="N129" s="193"/>
      <c r="O129" s="198">
        <f t="shared" ref="O129:O132" si="68">IF(M129="Average of YTD",I129/$X$4*$Y$4)+IF(M129="Budget",E129-I129)+IF(M129="Hard coded - Actual TY Projection",N129-I129)+IF(M129="Hard coded - Remaining Year Projection",N129)+IF(M129="Payroll 12 months",I129/$X$7*Y$7)+IF(M129="Payroll 11 months",I129/$X$10*$Y$10)+IF(M129="Zero","0.00")+IF(M129="Clearing",-I129)</f>
        <v>-12365.560000000001</v>
      </c>
      <c r="P129" s="26"/>
      <c r="Q129" s="26">
        <f t="shared" ref="Q129:Q132" si="69">O129+I129</f>
        <v>-20000</v>
      </c>
      <c r="R129" s="26"/>
      <c r="S129" s="26">
        <f t="shared" ref="S129:S132" si="70">Q129-E129</f>
        <v>0</v>
      </c>
      <c r="U129" s="94" t="s">
        <v>431</v>
      </c>
    </row>
    <row r="130" spans="1:21" ht="30" x14ac:dyDescent="0.25">
      <c r="A130" s="2"/>
      <c r="B130" s="20">
        <v>7402</v>
      </c>
      <c r="C130" t="s">
        <v>99</v>
      </c>
      <c r="D130" s="19"/>
      <c r="E130" s="24">
        <v>-20000</v>
      </c>
      <c r="F130" s="26"/>
      <c r="G130" s="26">
        <f>'Mapping Data'!G139</f>
        <v>-13336</v>
      </c>
      <c r="H130" s="26"/>
      <c r="I130" s="26">
        <f>'Mapping Data'!F139</f>
        <v>-28772.880000000001</v>
      </c>
      <c r="J130" s="26"/>
      <c r="K130" s="26">
        <f t="shared" si="67"/>
        <v>-15436.880000000001</v>
      </c>
      <c r="L130" s="45"/>
      <c r="M130" s="192" t="s">
        <v>515</v>
      </c>
      <c r="N130" s="193">
        <v>-30000</v>
      </c>
      <c r="O130" s="198">
        <f t="shared" si="68"/>
        <v>-1227.119999999999</v>
      </c>
      <c r="P130" s="26"/>
      <c r="Q130" s="26">
        <f t="shared" si="69"/>
        <v>-30000</v>
      </c>
      <c r="R130" s="26"/>
      <c r="S130" s="26">
        <f t="shared" si="70"/>
        <v>-10000</v>
      </c>
      <c r="U130" s="94" t="s">
        <v>494</v>
      </c>
    </row>
    <row r="131" spans="1:21" x14ac:dyDescent="0.25">
      <c r="A131" s="2"/>
      <c r="B131" s="20">
        <v>7403</v>
      </c>
      <c r="C131" s="97" t="s">
        <v>440</v>
      </c>
      <c r="D131" s="19"/>
      <c r="E131" s="24">
        <v>0</v>
      </c>
      <c r="F131" s="26"/>
      <c r="G131" s="26">
        <f>'Mapping Data'!G140</f>
        <v>0</v>
      </c>
      <c r="H131" s="26"/>
      <c r="I131" s="26">
        <f>'Mapping Data'!F140</f>
        <v>-13050</v>
      </c>
      <c r="J131" s="26"/>
      <c r="K131" s="26">
        <f t="shared" ref="K131" si="71">I131-G131</f>
        <v>-13050</v>
      </c>
      <c r="L131" s="45"/>
      <c r="M131" s="192" t="s">
        <v>515</v>
      </c>
      <c r="N131" s="193">
        <v>-10000</v>
      </c>
      <c r="O131" s="198">
        <f t="shared" si="68"/>
        <v>3050</v>
      </c>
      <c r="P131" s="26"/>
      <c r="Q131" s="26">
        <f t="shared" ref="Q131" si="72">O131+I131</f>
        <v>-10000</v>
      </c>
      <c r="R131" s="26"/>
      <c r="S131" s="26">
        <f t="shared" ref="S131" si="73">Q131-E131</f>
        <v>-10000</v>
      </c>
      <c r="U131" s="94" t="s">
        <v>499</v>
      </c>
    </row>
    <row r="132" spans="1:21" x14ac:dyDescent="0.25">
      <c r="A132" s="2"/>
      <c r="B132" s="20">
        <v>7404</v>
      </c>
      <c r="C132" t="s">
        <v>100</v>
      </c>
      <c r="D132" s="19"/>
      <c r="E132" s="24">
        <v>-10000</v>
      </c>
      <c r="F132" s="26"/>
      <c r="G132" s="26">
        <f>'Mapping Data'!G141</f>
        <v>-6664</v>
      </c>
      <c r="H132" s="26"/>
      <c r="I132" s="26">
        <f>'Mapping Data'!F141</f>
        <v>0</v>
      </c>
      <c r="J132" s="26"/>
      <c r="K132" s="26">
        <f t="shared" si="67"/>
        <v>6664</v>
      </c>
      <c r="L132" s="45"/>
      <c r="M132" s="192" t="s">
        <v>116</v>
      </c>
      <c r="N132" s="193"/>
      <c r="O132" s="198">
        <f t="shared" si="68"/>
        <v>-10000</v>
      </c>
      <c r="P132" s="26"/>
      <c r="Q132" s="26">
        <f t="shared" si="69"/>
        <v>-10000</v>
      </c>
      <c r="R132" s="26"/>
      <c r="S132" s="26">
        <f t="shared" si="70"/>
        <v>0</v>
      </c>
      <c r="U132" s="94" t="s">
        <v>431</v>
      </c>
    </row>
    <row r="133" spans="1:21" x14ac:dyDescent="0.25">
      <c r="A133" s="2"/>
      <c r="B133" s="20"/>
      <c r="C133" s="11" t="s">
        <v>7</v>
      </c>
      <c r="D133" s="11"/>
      <c r="E133" s="27">
        <f>SUM(E129:E132)</f>
        <v>-50000</v>
      </c>
      <c r="F133" s="26"/>
      <c r="G133" s="27">
        <f>SUM(G129:G132)</f>
        <v>-33336</v>
      </c>
      <c r="H133" s="24"/>
      <c r="I133" s="27">
        <f>SUM(I129:I132)</f>
        <v>-49457.32</v>
      </c>
      <c r="J133" s="24"/>
      <c r="K133" s="27">
        <f>SUM(K129:K132)</f>
        <v>-16121.32</v>
      </c>
      <c r="L133" s="41">
        <f>SUM(L129:L132)</f>
        <v>0</v>
      </c>
      <c r="M133" s="27"/>
      <c r="N133" s="27"/>
      <c r="O133" s="27">
        <f>SUM(O129:O132)</f>
        <v>-20542.68</v>
      </c>
      <c r="P133" s="24"/>
      <c r="Q133" s="27">
        <f>SUM(Q129:Q132)</f>
        <v>-70000</v>
      </c>
      <c r="R133" s="24"/>
      <c r="S133" s="27">
        <f>SUM(S129:S132)</f>
        <v>-20000</v>
      </c>
    </row>
    <row r="134" spans="1:21" x14ac:dyDescent="0.25">
      <c r="A134" s="5" t="s">
        <v>38</v>
      </c>
      <c r="B134" s="20"/>
      <c r="C134" s="4"/>
      <c r="D134" s="4"/>
      <c r="E134" s="24"/>
      <c r="F134" s="26"/>
      <c r="G134" s="26"/>
      <c r="H134" s="26"/>
      <c r="I134" s="26"/>
      <c r="J134" s="26"/>
      <c r="K134" s="26"/>
      <c r="L134" s="45"/>
      <c r="M134" s="26"/>
      <c r="N134" s="26"/>
      <c r="O134" s="26"/>
      <c r="P134" s="26"/>
      <c r="Q134" s="26"/>
      <c r="R134" s="26"/>
      <c r="S134" s="26"/>
    </row>
    <row r="135" spans="1:21" x14ac:dyDescent="0.25">
      <c r="A135" s="2"/>
      <c r="B135" s="20">
        <v>8101</v>
      </c>
      <c r="C135" t="s">
        <v>417</v>
      </c>
      <c r="D135" s="19"/>
      <c r="E135" s="24">
        <v>0</v>
      </c>
      <c r="F135" s="26"/>
      <c r="G135" s="26">
        <f>'Mapping Data'!G144</f>
        <v>0</v>
      </c>
      <c r="H135" s="26"/>
      <c r="I135" s="26">
        <f>'Mapping Data'!F144</f>
        <v>-11812.82</v>
      </c>
      <c r="J135" s="26"/>
      <c r="K135" s="26">
        <f t="shared" ref="K135:K138" si="74">I135-G135</f>
        <v>-11812.82</v>
      </c>
      <c r="L135" s="45"/>
      <c r="M135" s="192" t="s">
        <v>518</v>
      </c>
      <c r="N135" s="193">
        <v>-2000</v>
      </c>
      <c r="O135" s="198">
        <f t="shared" ref="O135:O138" si="75">IF(M135="Average of YTD",I135/$X$4*$Y$4)+IF(M135="Budget",E135-I135)+IF(M135="Hard coded - Actual TY Projection",N135-I135)+IF(M135="Hard coded - Remaining Year Projection",N135)+IF(M135="Payroll 12 months",I135/$X$7*Y$7)+IF(M135="Payroll 11 months",I135/$X$10*$Y$10)+IF(M135="Zero","0.00")+IF(M135="Clearing",-I135)</f>
        <v>-2000</v>
      </c>
      <c r="P135" s="26"/>
      <c r="Q135" s="26">
        <f t="shared" ref="Q135:Q138" si="76">O135+I135</f>
        <v>-13812.82</v>
      </c>
      <c r="R135" s="26"/>
      <c r="S135" s="26">
        <f t="shared" ref="S135:S138" si="77">Q135-E135</f>
        <v>-13812.82</v>
      </c>
      <c r="U135" s="94" t="s">
        <v>557</v>
      </c>
    </row>
    <row r="136" spans="1:21" x14ac:dyDescent="0.25">
      <c r="A136" s="2"/>
      <c r="B136" s="20">
        <v>8104</v>
      </c>
      <c r="C136" t="s">
        <v>418</v>
      </c>
      <c r="D136" s="19"/>
      <c r="E136" s="24">
        <v>-3000</v>
      </c>
      <c r="F136" s="26"/>
      <c r="G136" s="26">
        <f>'Mapping Data'!G145</f>
        <v>-2000</v>
      </c>
      <c r="H136" s="26"/>
      <c r="I136" s="26">
        <f>'Mapping Data'!F145</f>
        <v>-6730.5</v>
      </c>
      <c r="J136" s="26"/>
      <c r="K136" s="26">
        <f t="shared" si="74"/>
        <v>-4730.5</v>
      </c>
      <c r="L136" s="45"/>
      <c r="M136" s="192" t="s">
        <v>519</v>
      </c>
      <c r="N136" s="193"/>
      <c r="O136" s="198">
        <f t="shared" si="75"/>
        <v>0</v>
      </c>
      <c r="P136" s="26"/>
      <c r="Q136" s="26">
        <f t="shared" si="76"/>
        <v>-6730.5</v>
      </c>
      <c r="R136" s="26"/>
      <c r="S136" s="26">
        <f t="shared" si="77"/>
        <v>-3730.5</v>
      </c>
      <c r="U136" s="94" t="s">
        <v>441</v>
      </c>
    </row>
    <row r="137" spans="1:21" ht="30" x14ac:dyDescent="0.25">
      <c r="A137" s="2"/>
      <c r="B137" s="20">
        <v>8107</v>
      </c>
      <c r="C137" t="s">
        <v>101</v>
      </c>
      <c r="D137" s="19"/>
      <c r="E137" s="24">
        <v>-2000</v>
      </c>
      <c r="F137" s="26"/>
      <c r="G137" s="26">
        <f>'Mapping Data'!G146</f>
        <v>-1336</v>
      </c>
      <c r="H137" s="26"/>
      <c r="I137" s="26">
        <f>'Mapping Data'!F146</f>
        <v>-4142.4799999999996</v>
      </c>
      <c r="J137" s="26"/>
      <c r="K137" s="26">
        <f t="shared" si="74"/>
        <v>-2806.4799999999996</v>
      </c>
      <c r="L137" s="45"/>
      <c r="M137" s="192" t="s">
        <v>515</v>
      </c>
      <c r="N137" s="193">
        <v>-6000</v>
      </c>
      <c r="O137" s="198">
        <f t="shared" si="75"/>
        <v>-1857.5200000000004</v>
      </c>
      <c r="P137" s="26"/>
      <c r="Q137" s="26">
        <f t="shared" si="76"/>
        <v>-6000</v>
      </c>
      <c r="R137" s="26"/>
      <c r="S137" s="26">
        <f t="shared" si="77"/>
        <v>-4000</v>
      </c>
      <c r="U137" s="94" t="s">
        <v>438</v>
      </c>
    </row>
    <row r="138" spans="1:21" x14ac:dyDescent="0.25">
      <c r="A138" s="2"/>
      <c r="B138" s="20">
        <v>8109</v>
      </c>
      <c r="C138" t="s">
        <v>419</v>
      </c>
      <c r="D138" s="19"/>
      <c r="E138" s="24">
        <v>0</v>
      </c>
      <c r="F138" s="26"/>
      <c r="G138" s="26">
        <f>'Mapping Data'!G147</f>
        <v>0</v>
      </c>
      <c r="H138" s="26"/>
      <c r="I138" s="26">
        <f>'Mapping Data'!F147</f>
        <v>0</v>
      </c>
      <c r="J138" s="26"/>
      <c r="K138" s="26">
        <f t="shared" si="74"/>
        <v>0</v>
      </c>
      <c r="L138" s="45"/>
      <c r="M138" s="192" t="s">
        <v>519</v>
      </c>
      <c r="N138" s="193"/>
      <c r="O138" s="198">
        <f t="shared" si="75"/>
        <v>0</v>
      </c>
      <c r="P138" s="26"/>
      <c r="Q138" s="26">
        <f t="shared" si="76"/>
        <v>0</v>
      </c>
      <c r="R138" s="26"/>
      <c r="S138" s="26">
        <f t="shared" si="77"/>
        <v>0</v>
      </c>
      <c r="U138" s="94" t="s">
        <v>441</v>
      </c>
    </row>
    <row r="139" spans="1:21" x14ac:dyDescent="0.25">
      <c r="A139" s="2"/>
      <c r="B139" s="20"/>
      <c r="C139" s="11" t="s">
        <v>7</v>
      </c>
      <c r="D139" s="11"/>
      <c r="E139" s="27">
        <f>SUM(E135:E138)</f>
        <v>-5000</v>
      </c>
      <c r="F139" s="26"/>
      <c r="G139" s="27">
        <f t="shared" ref="G139:S139" si="78">SUM(G135:G138)</f>
        <v>-3336</v>
      </c>
      <c r="H139" s="24"/>
      <c r="I139" s="27">
        <f t="shared" si="78"/>
        <v>-22685.8</v>
      </c>
      <c r="J139" s="24"/>
      <c r="K139" s="27">
        <f t="shared" si="78"/>
        <v>-19349.8</v>
      </c>
      <c r="L139" s="41">
        <f t="shared" si="78"/>
        <v>0</v>
      </c>
      <c r="M139" s="27"/>
      <c r="N139" s="27"/>
      <c r="O139" s="27">
        <f t="shared" si="78"/>
        <v>-3857.5200000000004</v>
      </c>
      <c r="P139" s="24"/>
      <c r="Q139" s="27">
        <f t="shared" si="78"/>
        <v>-26543.32</v>
      </c>
      <c r="R139" s="24"/>
      <c r="S139" s="27">
        <f t="shared" si="78"/>
        <v>-21543.32</v>
      </c>
    </row>
    <row r="140" spans="1:21" x14ac:dyDescent="0.25">
      <c r="A140" s="5" t="s">
        <v>39</v>
      </c>
      <c r="B140" s="20"/>
      <c r="C140" s="4"/>
      <c r="D140" s="4"/>
      <c r="E140" s="24"/>
      <c r="F140" s="26"/>
      <c r="G140" s="26"/>
      <c r="H140" s="26"/>
      <c r="I140" s="26"/>
      <c r="J140" s="26"/>
      <c r="K140" s="26"/>
      <c r="L140" s="45"/>
      <c r="M140" s="26"/>
      <c r="N140" s="26"/>
      <c r="O140" s="26"/>
      <c r="P140" s="26"/>
      <c r="Q140" s="26"/>
      <c r="R140" s="26"/>
      <c r="S140" s="26"/>
      <c r="U140" s="94" t="s">
        <v>0</v>
      </c>
    </row>
    <row r="141" spans="1:21" x14ac:dyDescent="0.25">
      <c r="A141" s="2"/>
      <c r="B141" s="20">
        <v>8801</v>
      </c>
      <c r="C141" t="s">
        <v>102</v>
      </c>
      <c r="D141" s="19"/>
      <c r="E141" s="24">
        <v>-300</v>
      </c>
      <c r="F141" s="26"/>
      <c r="G141" s="26">
        <f>'Mapping Data'!G150</f>
        <v>-200</v>
      </c>
      <c r="H141" s="26"/>
      <c r="I141" s="26">
        <f>'Mapping Data'!F150</f>
        <v>-322.39999999999998</v>
      </c>
      <c r="J141" s="26"/>
      <c r="K141" s="26">
        <f t="shared" ref="K141:K145" si="79">I141-G141</f>
        <v>-122.39999999999998</v>
      </c>
      <c r="L141" s="45"/>
      <c r="M141" s="192" t="s">
        <v>517</v>
      </c>
      <c r="N141" s="193"/>
      <c r="O141" s="198">
        <f t="shared" ref="O141:O144" si="80">IF(M141="Average of YTD",I141/$X$4*$Y$4)+IF(M141="Budget",E141-I141)+IF(M141="Hard coded - Actual TY Projection",N141-I141)+IF(M141="Hard coded - Remaining Year Projection",N141)+IF(M141="Payroll 12 months",I141/$X$7*Y$7)+IF(M141="Payroll 11 months",I141/$X$10*$Y$10)+IF(M141="Zero","0.00")+IF(M141="Clearing",-I141)</f>
        <v>-161.19999999999999</v>
      </c>
      <c r="P141" s="26"/>
      <c r="Q141" s="26">
        <f t="shared" ref="Q141:Q144" si="81">O141+I141</f>
        <v>-483.59999999999997</v>
      </c>
      <c r="R141" s="26"/>
      <c r="S141" s="26">
        <f t="shared" ref="S141:S144" si="82">Q141-E141</f>
        <v>-183.59999999999997</v>
      </c>
      <c r="U141" s="94" t="s">
        <v>495</v>
      </c>
    </row>
    <row r="142" spans="1:21" x14ac:dyDescent="0.25">
      <c r="A142" s="2"/>
      <c r="B142" s="20"/>
      <c r="C142" s="130" t="s">
        <v>270</v>
      </c>
      <c r="D142" s="19"/>
      <c r="E142" s="24">
        <v>0</v>
      </c>
      <c r="F142" s="26"/>
      <c r="G142" s="26">
        <f>'Mapping Data'!G151</f>
        <v>0</v>
      </c>
      <c r="H142" s="26"/>
      <c r="I142" s="26">
        <f>'Mapping Data'!F151</f>
        <v>-622.54999999999995</v>
      </c>
      <c r="J142" s="26"/>
      <c r="K142" s="26">
        <f t="shared" si="79"/>
        <v>-622.54999999999995</v>
      </c>
      <c r="L142" s="45"/>
      <c r="M142" s="192" t="s">
        <v>519</v>
      </c>
      <c r="N142" s="193"/>
      <c r="O142" s="198">
        <f t="shared" si="80"/>
        <v>0</v>
      </c>
      <c r="P142" s="26"/>
      <c r="Q142" s="26">
        <f t="shared" ref="Q142" si="83">O142+I142</f>
        <v>-622.54999999999995</v>
      </c>
      <c r="R142" s="26"/>
      <c r="S142" s="26">
        <f t="shared" ref="S142" si="84">Q142-E142</f>
        <v>-622.54999999999995</v>
      </c>
      <c r="U142" s="94" t="s">
        <v>496</v>
      </c>
    </row>
    <row r="143" spans="1:21" x14ac:dyDescent="0.25">
      <c r="A143" s="2"/>
      <c r="B143" s="20">
        <v>8900</v>
      </c>
      <c r="C143" t="s">
        <v>40</v>
      </c>
      <c r="D143" s="17"/>
      <c r="E143" s="24">
        <v>-88906</v>
      </c>
      <c r="F143" s="26"/>
      <c r="G143" s="26">
        <f>'Mapping Data'!G152</f>
        <v>0</v>
      </c>
      <c r="H143" s="26"/>
      <c r="I143" s="26">
        <f>'Mapping Data'!F152</f>
        <v>0</v>
      </c>
      <c r="J143" s="26"/>
      <c r="K143" s="26">
        <f t="shared" si="79"/>
        <v>0</v>
      </c>
      <c r="L143" s="45"/>
      <c r="M143" s="192" t="s">
        <v>515</v>
      </c>
      <c r="N143" s="199">
        <f>-70000+'Capital Budget v Actual'!V8</f>
        <v>-177520.18666666665</v>
      </c>
      <c r="O143" s="198">
        <f t="shared" si="80"/>
        <v>-177520.18666666665</v>
      </c>
      <c r="P143" s="26"/>
      <c r="Q143" s="26">
        <f t="shared" si="81"/>
        <v>-177520.18666666665</v>
      </c>
      <c r="R143" s="26"/>
      <c r="S143" s="26">
        <f t="shared" si="82"/>
        <v>-88614.186666666646</v>
      </c>
      <c r="U143" s="94" t="s">
        <v>491</v>
      </c>
    </row>
    <row r="144" spans="1:21" x14ac:dyDescent="0.25">
      <c r="A144" s="2"/>
      <c r="B144" s="20"/>
      <c r="C144" t="s">
        <v>103</v>
      </c>
      <c r="D144" s="19"/>
      <c r="E144" s="24">
        <v>-235795</v>
      </c>
      <c r="F144" s="26"/>
      <c r="G144" s="26">
        <f>'Mapping Data'!G154</f>
        <v>-157200</v>
      </c>
      <c r="H144" s="26"/>
      <c r="I144" s="26">
        <f>'Mapping Data'!F154</f>
        <v>0</v>
      </c>
      <c r="J144" s="26"/>
      <c r="K144" s="26">
        <f t="shared" si="79"/>
        <v>157200</v>
      </c>
      <c r="L144" s="45"/>
      <c r="M144" s="192" t="s">
        <v>519</v>
      </c>
      <c r="N144" s="193"/>
      <c r="O144" s="198">
        <f t="shared" si="80"/>
        <v>0</v>
      </c>
      <c r="P144" s="26"/>
      <c r="Q144" s="26">
        <f t="shared" si="81"/>
        <v>0</v>
      </c>
      <c r="R144" s="26"/>
      <c r="S144" s="26">
        <f t="shared" si="82"/>
        <v>235795</v>
      </c>
      <c r="U144" s="94" t="s">
        <v>211</v>
      </c>
    </row>
    <row r="145" spans="1:21" x14ac:dyDescent="0.25">
      <c r="A145" s="2"/>
      <c r="B145" s="20"/>
      <c r="C145" s="11" t="s">
        <v>7</v>
      </c>
      <c r="D145" s="11"/>
      <c r="E145" s="27">
        <f>SUM(E141:E144)</f>
        <v>-325001</v>
      </c>
      <c r="F145" s="26"/>
      <c r="G145" s="27">
        <f t="shared" ref="G145:S145" si="85">SUM(G141:G144)</f>
        <v>-157400</v>
      </c>
      <c r="H145" s="24"/>
      <c r="I145" s="27">
        <f t="shared" si="85"/>
        <v>-944.94999999999993</v>
      </c>
      <c r="J145" s="24"/>
      <c r="K145" s="26">
        <f t="shared" si="79"/>
        <v>156455.04999999999</v>
      </c>
      <c r="L145" s="41">
        <f t="shared" si="85"/>
        <v>0</v>
      </c>
      <c r="M145" s="27"/>
      <c r="N145" s="27"/>
      <c r="O145" s="27">
        <f t="shared" si="85"/>
        <v>-177681.38666666666</v>
      </c>
      <c r="P145" s="24"/>
      <c r="Q145" s="27">
        <f t="shared" si="85"/>
        <v>-178626.33666666664</v>
      </c>
      <c r="R145" s="24"/>
      <c r="S145" s="27">
        <f t="shared" si="85"/>
        <v>146374.66333333336</v>
      </c>
    </row>
    <row r="146" spans="1:21" ht="45" x14ac:dyDescent="0.25">
      <c r="A146" s="21"/>
      <c r="B146" s="20"/>
      <c r="C146" s="3" t="s">
        <v>41</v>
      </c>
      <c r="D146" s="3"/>
      <c r="E146" s="32">
        <f>E145+E139+E133+E127+E123+E120+E107+E96+E78+E59</f>
        <v>-4951693</v>
      </c>
      <c r="F146" s="26"/>
      <c r="G146" s="32">
        <f>G145+G139+G133+G127+G123+G120+G107+G96+G78+G59</f>
        <v>-2996427</v>
      </c>
      <c r="H146" s="24"/>
      <c r="I146" s="32">
        <f>I145+I139+I133+I127+I123+I120+I107+I96+I78+I59</f>
        <v>-2901811.2000000002</v>
      </c>
      <c r="J146" s="24"/>
      <c r="K146" s="32">
        <f>K145+K139+K133+K127+K123+K120+K107+K96+K78+K59</f>
        <v>94645.629999999976</v>
      </c>
      <c r="L146" s="43">
        <f>L145+L139+L133+L127+L123+L120+L107+L96+L78+L59</f>
        <v>0</v>
      </c>
      <c r="M146" s="32"/>
      <c r="N146" s="32"/>
      <c r="O146" s="32">
        <f>O145+O139+O133+O127+O123+O120+O107+O96+O78+O59</f>
        <v>-2273034.6921908334</v>
      </c>
      <c r="P146" s="24"/>
      <c r="Q146" s="32">
        <f>Q145+Q139+Q133+Q127+Q123+Q120+Q107+Q96+Q78+Q59</f>
        <v>-5174845.8921908336</v>
      </c>
      <c r="R146" s="24"/>
      <c r="S146" s="32">
        <f>S145+S139+S133+S127+S123+S120+S107+S96+S78+S59</f>
        <v>-223152.89219083328</v>
      </c>
      <c r="U146" s="94" t="s">
        <v>560</v>
      </c>
    </row>
    <row r="147" spans="1:21" ht="30" x14ac:dyDescent="0.25">
      <c r="A147" s="21"/>
      <c r="B147" s="20"/>
      <c r="C147" s="4" t="s">
        <v>110</v>
      </c>
      <c r="D147" s="4"/>
      <c r="E147" s="24">
        <f>E24+E146</f>
        <v>-215368</v>
      </c>
      <c r="F147" s="26"/>
      <c r="G147" s="24">
        <f>G24+G146</f>
        <v>176012</v>
      </c>
      <c r="H147" s="24"/>
      <c r="I147" s="24">
        <f>I24+I146</f>
        <v>336113.37999999989</v>
      </c>
      <c r="J147" s="24"/>
      <c r="K147" s="24">
        <f>K24+K146</f>
        <v>160131.21000000014</v>
      </c>
      <c r="L147" s="44">
        <f>L24-L146</f>
        <v>0</v>
      </c>
      <c r="M147" s="24"/>
      <c r="N147" s="24"/>
      <c r="O147" s="24">
        <f>O146+O24</f>
        <v>-319563.10885750037</v>
      </c>
      <c r="P147" s="24"/>
      <c r="Q147" s="24">
        <f>Q146+Q24</f>
        <v>16550.271142499521</v>
      </c>
      <c r="R147" s="24"/>
      <c r="S147" s="24">
        <f>S146+S24</f>
        <v>231918.27114249999</v>
      </c>
      <c r="U147" s="94" t="s">
        <v>561</v>
      </c>
    </row>
    <row r="148" spans="1:21" ht="15.75" customHeight="1" x14ac:dyDescent="0.25">
      <c r="A148" s="8"/>
      <c r="B148" s="12"/>
      <c r="C148" s="12"/>
      <c r="D148" s="12"/>
      <c r="E148" s="25"/>
      <c r="F148" s="26"/>
      <c r="G148" s="26"/>
      <c r="H148" s="26"/>
      <c r="I148" s="26" t="s">
        <v>0</v>
      </c>
      <c r="J148" s="26"/>
      <c r="K148" s="26"/>
      <c r="L148" s="26"/>
      <c r="M148" s="26"/>
      <c r="N148" s="26"/>
      <c r="O148" s="26"/>
      <c r="P148" s="26"/>
      <c r="Q148" s="26"/>
      <c r="R148" s="26"/>
      <c r="S148" s="26"/>
    </row>
    <row r="149" spans="1:21" x14ac:dyDescent="0.25">
      <c r="A149" s="21"/>
      <c r="B149" s="20"/>
      <c r="C149" s="4" t="s">
        <v>447</v>
      </c>
      <c r="D149" s="4"/>
      <c r="E149" s="24">
        <f>'Capital Budget v Actual'!E8</f>
        <v>-64000</v>
      </c>
      <c r="G149" s="24">
        <f>'Capital Budget v Actual'!G8</f>
        <v>-64000</v>
      </c>
      <c r="I149" s="24">
        <f>'Capital Budget v Actual'!I8</f>
        <v>-239360.80000000002</v>
      </c>
      <c r="K149" s="24">
        <f>'Capital Budget v Actual'!K8</f>
        <v>-175360.80000000002</v>
      </c>
      <c r="O149" s="24">
        <f>'Capital Budget v Actual'!M8</f>
        <v>-168135.24</v>
      </c>
      <c r="Q149" s="24">
        <f>'Capital Budget v Actual'!O8</f>
        <v>-407496.04000000004</v>
      </c>
      <c r="S149" s="24">
        <f>'Capital Budget v Actual'!Q8</f>
        <v>-343496.04000000004</v>
      </c>
      <c r="U149" s="94" t="s">
        <v>455</v>
      </c>
    </row>
    <row r="150" spans="1:21" x14ac:dyDescent="0.25">
      <c r="O150" s="98"/>
    </row>
    <row r="151" spans="1:21" hidden="1" x14ac:dyDescent="0.25">
      <c r="C151" s="16" t="s">
        <v>446</v>
      </c>
      <c r="E151" s="26">
        <f>E147+E149</f>
        <v>-279368</v>
      </c>
      <c r="G151" s="26">
        <f>G147+G149</f>
        <v>112012</v>
      </c>
      <c r="I151" s="26">
        <f>I147+I149</f>
        <v>96752.579999999871</v>
      </c>
      <c r="K151" s="26">
        <f>K147+K149</f>
        <v>-15229.58999999988</v>
      </c>
      <c r="O151" s="26">
        <f>O147+O149</f>
        <v>-487698.34885750036</v>
      </c>
      <c r="Q151" s="26">
        <f>Q147+Q149</f>
        <v>-390945.76885750052</v>
      </c>
      <c r="S151" s="26">
        <f>S147+S149</f>
        <v>-111577.76885750005</v>
      </c>
    </row>
    <row r="152" spans="1:21" x14ac:dyDescent="0.25">
      <c r="O152" s="98"/>
    </row>
  </sheetData>
  <mergeCells count="3">
    <mergeCell ref="A3:C3"/>
    <mergeCell ref="A26:C26"/>
    <mergeCell ref="A2:C2"/>
  </mergeCells>
  <conditionalFormatting sqref="K5:K10 K12:K16 K18 K22:K24 K50:K55 K57:K59 K98:K107 K122:K123 K125:K127 K135:K139 K141:K147 K20 K61:K78 K29:K36 K80:K96 K109:K120 K129:K133 S20:S46 S48:S141 K38:K48">
    <cfRule type="cellIs" dxfId="19" priority="23" operator="lessThan">
      <formula>0</formula>
    </cfRule>
    <cfRule type="cellIs" dxfId="18" priority="24" operator="greaterThan">
      <formula>0</formula>
    </cfRule>
  </conditionalFormatting>
  <conditionalFormatting sqref="S5:S18 S143:S147">
    <cfRule type="cellIs" dxfId="17" priority="15" operator="lessThan">
      <formula>0</formula>
    </cfRule>
    <cfRule type="cellIs" dxfId="16" priority="16" operator="greaterThan">
      <formula>0</formula>
    </cfRule>
  </conditionalFormatting>
  <conditionalFormatting sqref="S142">
    <cfRule type="cellIs" dxfId="15" priority="13" operator="lessThan">
      <formula>0</formula>
    </cfRule>
    <cfRule type="cellIs" dxfId="14" priority="14" operator="greaterThan">
      <formula>0</formula>
    </cfRule>
  </conditionalFormatting>
  <conditionalFormatting sqref="K19">
    <cfRule type="cellIs" dxfId="13" priority="9" operator="lessThan">
      <formula>0</formula>
    </cfRule>
    <cfRule type="cellIs" dxfId="12" priority="10" operator="greaterThan">
      <formula>0</formula>
    </cfRule>
  </conditionalFormatting>
  <conditionalFormatting sqref="S19">
    <cfRule type="cellIs" dxfId="11" priority="7" operator="lessThan">
      <formula>0</formula>
    </cfRule>
    <cfRule type="cellIs" dxfId="10" priority="8" operator="greaterThan">
      <formula>0</formula>
    </cfRule>
  </conditionalFormatting>
  <conditionalFormatting sqref="S47">
    <cfRule type="cellIs" dxfId="9" priority="5" operator="lessThan">
      <formula>0</formula>
    </cfRule>
    <cfRule type="cellIs" dxfId="8" priority="6" operator="greaterThan">
      <formula>0</formula>
    </cfRule>
  </conditionalFormatting>
  <conditionalFormatting sqref="S149">
    <cfRule type="cellIs" dxfId="7" priority="3" operator="lessThan">
      <formula>0</formula>
    </cfRule>
    <cfRule type="cellIs" dxfId="6" priority="4" operator="greaterThan">
      <formula>0</formula>
    </cfRule>
  </conditionalFormatting>
  <conditionalFormatting sqref="K149">
    <cfRule type="cellIs" dxfId="5" priority="1" operator="lessThan">
      <formula>0</formula>
    </cfRule>
    <cfRule type="cellIs" dxfId="4" priority="2" operator="greaterThan">
      <formula>0</formula>
    </cfRule>
  </conditionalFormatting>
  <hyperlinks>
    <hyperlink ref="A28:C28" location="PBW!D6" display="5100 · Administrative Staff"/>
    <hyperlink ref="A37:C37" location="PBW!C64" display="5200 · Instructional Staff "/>
    <hyperlink ref="A49:C49" location="PBW!C158" display="5300 · Special Education "/>
  </hyperlinks>
  <printOptions gridLines="1"/>
  <pageMargins left="0.25" right="0.25" top="0.75" bottom="0.75" header="0.3" footer="0.3"/>
  <pageSetup scale="58" fitToHeight="4" orientation="landscape" r:id="rId1"/>
  <headerFooter>
    <oddFooter>&amp;A&amp;RPage &amp;P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'Validation Table'!$B$6:$B$13</xm:f>
          </x14:formula1>
          <xm:sqref>M5:M9 M12:M15 M18:M19 M22 M29:M35 M141:M144 M50:M54 M57 M61:M77 M80:M95 M98:M106 M109:M119 M122 M125:M126 M129:M132 M135:M138 M38:M47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4"/>
  <sheetViews>
    <sheetView zoomScale="80" zoomScaleNormal="80" workbookViewId="0">
      <selection activeCell="A2" sqref="A2"/>
    </sheetView>
  </sheetViews>
  <sheetFormatPr defaultRowHeight="15" x14ac:dyDescent="0.25"/>
  <cols>
    <col min="1" max="1" width="44" style="48" customWidth="1"/>
    <col min="2" max="2" width="0.85546875" style="48" customWidth="1"/>
    <col min="3" max="3" width="16.7109375" style="48" customWidth="1"/>
    <col min="4" max="4" width="0.85546875" style="48" customWidth="1"/>
    <col min="5" max="5" width="55.42578125" style="95" bestFit="1" customWidth="1"/>
    <col min="6" max="258" width="9.140625" style="48"/>
    <col min="259" max="259" width="44" style="48" customWidth="1"/>
    <col min="260" max="260" width="10.85546875" style="48" bestFit="1" customWidth="1"/>
    <col min="261" max="514" width="9.140625" style="48"/>
    <col min="515" max="515" width="44" style="48" customWidth="1"/>
    <col min="516" max="516" width="10.85546875" style="48" bestFit="1" customWidth="1"/>
    <col min="517" max="770" width="9.140625" style="48"/>
    <col min="771" max="771" width="44" style="48" customWidth="1"/>
    <col min="772" max="772" width="10.85546875" style="48" bestFit="1" customWidth="1"/>
    <col min="773" max="1026" width="9.140625" style="48"/>
    <col min="1027" max="1027" width="44" style="48" customWidth="1"/>
    <col min="1028" max="1028" width="10.85546875" style="48" bestFit="1" customWidth="1"/>
    <col min="1029" max="1282" width="9.140625" style="48"/>
    <col min="1283" max="1283" width="44" style="48" customWidth="1"/>
    <col min="1284" max="1284" width="10.85546875" style="48" bestFit="1" customWidth="1"/>
    <col min="1285" max="1538" width="9.140625" style="48"/>
    <col min="1539" max="1539" width="44" style="48" customWidth="1"/>
    <col min="1540" max="1540" width="10.85546875" style="48" bestFit="1" customWidth="1"/>
    <col min="1541" max="1794" width="9.140625" style="48"/>
    <col min="1795" max="1795" width="44" style="48" customWidth="1"/>
    <col min="1796" max="1796" width="10.85546875" style="48" bestFit="1" customWidth="1"/>
    <col min="1797" max="2050" width="9.140625" style="48"/>
    <col min="2051" max="2051" width="44" style="48" customWidth="1"/>
    <col min="2052" max="2052" width="10.85546875" style="48" bestFit="1" customWidth="1"/>
    <col min="2053" max="2306" width="9.140625" style="48"/>
    <col min="2307" max="2307" width="44" style="48" customWidth="1"/>
    <col min="2308" max="2308" width="10.85546875" style="48" bestFit="1" customWidth="1"/>
    <col min="2309" max="2562" width="9.140625" style="48"/>
    <col min="2563" max="2563" width="44" style="48" customWidth="1"/>
    <col min="2564" max="2564" width="10.85546875" style="48" bestFit="1" customWidth="1"/>
    <col min="2565" max="2818" width="9.140625" style="48"/>
    <col min="2819" max="2819" width="44" style="48" customWidth="1"/>
    <col min="2820" max="2820" width="10.85546875" style="48" bestFit="1" customWidth="1"/>
    <col min="2821" max="3074" width="9.140625" style="48"/>
    <col min="3075" max="3075" width="44" style="48" customWidth="1"/>
    <col min="3076" max="3076" width="10.85546875" style="48" bestFit="1" customWidth="1"/>
    <col min="3077" max="3330" width="9.140625" style="48"/>
    <col min="3331" max="3331" width="44" style="48" customWidth="1"/>
    <col min="3332" max="3332" width="10.85546875" style="48" bestFit="1" customWidth="1"/>
    <col min="3333" max="3586" width="9.140625" style="48"/>
    <col min="3587" max="3587" width="44" style="48" customWidth="1"/>
    <col min="3588" max="3588" width="10.85546875" style="48" bestFit="1" customWidth="1"/>
    <col min="3589" max="3842" width="9.140625" style="48"/>
    <col min="3843" max="3843" width="44" style="48" customWidth="1"/>
    <col min="3844" max="3844" width="10.85546875" style="48" bestFit="1" customWidth="1"/>
    <col min="3845" max="4098" width="9.140625" style="48"/>
    <col min="4099" max="4099" width="44" style="48" customWidth="1"/>
    <col min="4100" max="4100" width="10.85546875" style="48" bestFit="1" customWidth="1"/>
    <col min="4101" max="4354" width="9.140625" style="48"/>
    <col min="4355" max="4355" width="44" style="48" customWidth="1"/>
    <col min="4356" max="4356" width="10.85546875" style="48" bestFit="1" customWidth="1"/>
    <col min="4357" max="4610" width="9.140625" style="48"/>
    <col min="4611" max="4611" width="44" style="48" customWidth="1"/>
    <col min="4612" max="4612" width="10.85546875" style="48" bestFit="1" customWidth="1"/>
    <col min="4613" max="4866" width="9.140625" style="48"/>
    <col min="4867" max="4867" width="44" style="48" customWidth="1"/>
    <col min="4868" max="4868" width="10.85546875" style="48" bestFit="1" customWidth="1"/>
    <col min="4869" max="5122" width="9.140625" style="48"/>
    <col min="5123" max="5123" width="44" style="48" customWidth="1"/>
    <col min="5124" max="5124" width="10.85546875" style="48" bestFit="1" customWidth="1"/>
    <col min="5125" max="5378" width="9.140625" style="48"/>
    <col min="5379" max="5379" width="44" style="48" customWidth="1"/>
    <col min="5380" max="5380" width="10.85546875" style="48" bestFit="1" customWidth="1"/>
    <col min="5381" max="5634" width="9.140625" style="48"/>
    <col min="5635" max="5635" width="44" style="48" customWidth="1"/>
    <col min="5636" max="5636" width="10.85546875" style="48" bestFit="1" customWidth="1"/>
    <col min="5637" max="5890" width="9.140625" style="48"/>
    <col min="5891" max="5891" width="44" style="48" customWidth="1"/>
    <col min="5892" max="5892" width="10.85546875" style="48" bestFit="1" customWidth="1"/>
    <col min="5893" max="6146" width="9.140625" style="48"/>
    <col min="6147" max="6147" width="44" style="48" customWidth="1"/>
    <col min="6148" max="6148" width="10.85546875" style="48" bestFit="1" customWidth="1"/>
    <col min="6149" max="6402" width="9.140625" style="48"/>
    <col min="6403" max="6403" width="44" style="48" customWidth="1"/>
    <col min="6404" max="6404" width="10.85546875" style="48" bestFit="1" customWidth="1"/>
    <col min="6405" max="6658" width="9.140625" style="48"/>
    <col min="6659" max="6659" width="44" style="48" customWidth="1"/>
    <col min="6660" max="6660" width="10.85546875" style="48" bestFit="1" customWidth="1"/>
    <col min="6661" max="6914" width="9.140625" style="48"/>
    <col min="6915" max="6915" width="44" style="48" customWidth="1"/>
    <col min="6916" max="6916" width="10.85546875" style="48" bestFit="1" customWidth="1"/>
    <col min="6917" max="7170" width="9.140625" style="48"/>
    <col min="7171" max="7171" width="44" style="48" customWidth="1"/>
    <col min="7172" max="7172" width="10.85546875" style="48" bestFit="1" customWidth="1"/>
    <col min="7173" max="7426" width="9.140625" style="48"/>
    <col min="7427" max="7427" width="44" style="48" customWidth="1"/>
    <col min="7428" max="7428" width="10.85546875" style="48" bestFit="1" customWidth="1"/>
    <col min="7429" max="7682" width="9.140625" style="48"/>
    <col min="7683" max="7683" width="44" style="48" customWidth="1"/>
    <col min="7684" max="7684" width="10.85546875" style="48" bestFit="1" customWidth="1"/>
    <col min="7685" max="7938" width="9.140625" style="48"/>
    <col min="7939" max="7939" width="44" style="48" customWidth="1"/>
    <col min="7940" max="7940" width="10.85546875" style="48" bestFit="1" customWidth="1"/>
    <col min="7941" max="8194" width="9.140625" style="48"/>
    <col min="8195" max="8195" width="44" style="48" customWidth="1"/>
    <col min="8196" max="8196" width="10.85546875" style="48" bestFit="1" customWidth="1"/>
    <col min="8197" max="8450" width="9.140625" style="48"/>
    <col min="8451" max="8451" width="44" style="48" customWidth="1"/>
    <col min="8452" max="8452" width="10.85546875" style="48" bestFit="1" customWidth="1"/>
    <col min="8453" max="8706" width="9.140625" style="48"/>
    <col min="8707" max="8707" width="44" style="48" customWidth="1"/>
    <col min="8708" max="8708" width="10.85546875" style="48" bestFit="1" customWidth="1"/>
    <col min="8709" max="8962" width="9.140625" style="48"/>
    <col min="8963" max="8963" width="44" style="48" customWidth="1"/>
    <col min="8964" max="8964" width="10.85546875" style="48" bestFit="1" customWidth="1"/>
    <col min="8965" max="9218" width="9.140625" style="48"/>
    <col min="9219" max="9219" width="44" style="48" customWidth="1"/>
    <col min="9220" max="9220" width="10.85546875" style="48" bestFit="1" customWidth="1"/>
    <col min="9221" max="9474" width="9.140625" style="48"/>
    <col min="9475" max="9475" width="44" style="48" customWidth="1"/>
    <col min="9476" max="9476" width="10.85546875" style="48" bestFit="1" customWidth="1"/>
    <col min="9477" max="9730" width="9.140625" style="48"/>
    <col min="9731" max="9731" width="44" style="48" customWidth="1"/>
    <col min="9732" max="9732" width="10.85546875" style="48" bestFit="1" customWidth="1"/>
    <col min="9733" max="9986" width="9.140625" style="48"/>
    <col min="9987" max="9987" width="44" style="48" customWidth="1"/>
    <col min="9988" max="9988" width="10.85546875" style="48" bestFit="1" customWidth="1"/>
    <col min="9989" max="10242" width="9.140625" style="48"/>
    <col min="10243" max="10243" width="44" style="48" customWidth="1"/>
    <col min="10244" max="10244" width="10.85546875" style="48" bestFit="1" customWidth="1"/>
    <col min="10245" max="10498" width="9.140625" style="48"/>
    <col min="10499" max="10499" width="44" style="48" customWidth="1"/>
    <col min="10500" max="10500" width="10.85546875" style="48" bestFit="1" customWidth="1"/>
    <col min="10501" max="10754" width="9.140625" style="48"/>
    <col min="10755" max="10755" width="44" style="48" customWidth="1"/>
    <col min="10756" max="10756" width="10.85546875" style="48" bestFit="1" customWidth="1"/>
    <col min="10757" max="11010" width="9.140625" style="48"/>
    <col min="11011" max="11011" width="44" style="48" customWidth="1"/>
    <col min="11012" max="11012" width="10.85546875" style="48" bestFit="1" customWidth="1"/>
    <col min="11013" max="11266" width="9.140625" style="48"/>
    <col min="11267" max="11267" width="44" style="48" customWidth="1"/>
    <col min="11268" max="11268" width="10.85546875" style="48" bestFit="1" customWidth="1"/>
    <col min="11269" max="11522" width="9.140625" style="48"/>
    <col min="11523" max="11523" width="44" style="48" customWidth="1"/>
    <col min="11524" max="11524" width="10.85546875" style="48" bestFit="1" customWidth="1"/>
    <col min="11525" max="11778" width="9.140625" style="48"/>
    <col min="11779" max="11779" width="44" style="48" customWidth="1"/>
    <col min="11780" max="11780" width="10.85546875" style="48" bestFit="1" customWidth="1"/>
    <col min="11781" max="12034" width="9.140625" style="48"/>
    <col min="12035" max="12035" width="44" style="48" customWidth="1"/>
    <col min="12036" max="12036" width="10.85546875" style="48" bestFit="1" customWidth="1"/>
    <col min="12037" max="12290" width="9.140625" style="48"/>
    <col min="12291" max="12291" width="44" style="48" customWidth="1"/>
    <col min="12292" max="12292" width="10.85546875" style="48" bestFit="1" customWidth="1"/>
    <col min="12293" max="12546" width="9.140625" style="48"/>
    <col min="12547" max="12547" width="44" style="48" customWidth="1"/>
    <col min="12548" max="12548" width="10.85546875" style="48" bestFit="1" customWidth="1"/>
    <col min="12549" max="12802" width="9.140625" style="48"/>
    <col min="12803" max="12803" width="44" style="48" customWidth="1"/>
    <col min="12804" max="12804" width="10.85546875" style="48" bestFit="1" customWidth="1"/>
    <col min="12805" max="13058" width="9.140625" style="48"/>
    <col min="13059" max="13059" width="44" style="48" customWidth="1"/>
    <col min="13060" max="13060" width="10.85546875" style="48" bestFit="1" customWidth="1"/>
    <col min="13061" max="13314" width="9.140625" style="48"/>
    <col min="13315" max="13315" width="44" style="48" customWidth="1"/>
    <col min="13316" max="13316" width="10.85546875" style="48" bestFit="1" customWidth="1"/>
    <col min="13317" max="13570" width="9.140625" style="48"/>
    <col min="13571" max="13571" width="44" style="48" customWidth="1"/>
    <col min="13572" max="13572" width="10.85546875" style="48" bestFit="1" customWidth="1"/>
    <col min="13573" max="13826" width="9.140625" style="48"/>
    <col min="13827" max="13827" width="44" style="48" customWidth="1"/>
    <col min="13828" max="13828" width="10.85546875" style="48" bestFit="1" customWidth="1"/>
    <col min="13829" max="14082" width="9.140625" style="48"/>
    <col min="14083" max="14083" width="44" style="48" customWidth="1"/>
    <col min="14084" max="14084" width="10.85546875" style="48" bestFit="1" customWidth="1"/>
    <col min="14085" max="14338" width="9.140625" style="48"/>
    <col min="14339" max="14339" width="44" style="48" customWidth="1"/>
    <col min="14340" max="14340" width="10.85546875" style="48" bestFit="1" customWidth="1"/>
    <col min="14341" max="14594" width="9.140625" style="48"/>
    <col min="14595" max="14595" width="44" style="48" customWidth="1"/>
    <col min="14596" max="14596" width="10.85546875" style="48" bestFit="1" customWidth="1"/>
    <col min="14597" max="14850" width="9.140625" style="48"/>
    <col min="14851" max="14851" width="44" style="48" customWidth="1"/>
    <col min="14852" max="14852" width="10.85546875" style="48" bestFit="1" customWidth="1"/>
    <col min="14853" max="15106" width="9.140625" style="48"/>
    <col min="15107" max="15107" width="44" style="48" customWidth="1"/>
    <col min="15108" max="15108" width="10.85546875" style="48" bestFit="1" customWidth="1"/>
    <col min="15109" max="15362" width="9.140625" style="48"/>
    <col min="15363" max="15363" width="44" style="48" customWidth="1"/>
    <col min="15364" max="15364" width="10.85546875" style="48" bestFit="1" customWidth="1"/>
    <col min="15365" max="15618" width="9.140625" style="48"/>
    <col min="15619" max="15619" width="44" style="48" customWidth="1"/>
    <col min="15620" max="15620" width="10.85546875" style="48" bestFit="1" customWidth="1"/>
    <col min="15621" max="15874" width="9.140625" style="48"/>
    <col min="15875" max="15875" width="44" style="48" customWidth="1"/>
    <col min="15876" max="15876" width="10.85546875" style="48" bestFit="1" customWidth="1"/>
    <col min="15877" max="16130" width="9.140625" style="48"/>
    <col min="16131" max="16131" width="44" style="48" customWidth="1"/>
    <col min="16132" max="16132" width="10.85546875" style="48" bestFit="1" customWidth="1"/>
    <col min="16133" max="16384" width="9.140625" style="48"/>
  </cols>
  <sheetData>
    <row r="1" spans="1:5" ht="15.75" thickBot="1" x14ac:dyDescent="0.3"/>
    <row r="2" spans="1:5" ht="65.099999999999994" customHeight="1" thickBot="1" x14ac:dyDescent="0.3">
      <c r="A2" s="46" t="s">
        <v>554</v>
      </c>
      <c r="C2" s="46" t="s">
        <v>131</v>
      </c>
      <c r="E2" s="81" t="s">
        <v>111</v>
      </c>
    </row>
    <row r="3" spans="1:5" x14ac:dyDescent="0.25">
      <c r="A3" s="86" t="s">
        <v>138</v>
      </c>
      <c r="B3" s="82"/>
      <c r="C3" s="83"/>
      <c r="D3" s="83"/>
    </row>
    <row r="4" spans="1:5" x14ac:dyDescent="0.25">
      <c r="A4" s="86" t="s">
        <v>139</v>
      </c>
      <c r="B4" s="82"/>
      <c r="C4" s="83"/>
      <c r="D4" s="83"/>
    </row>
    <row r="5" spans="1:5" x14ac:dyDescent="0.25">
      <c r="A5" s="86" t="s">
        <v>140</v>
      </c>
      <c r="B5" s="82"/>
      <c r="C5" s="83"/>
      <c r="D5" s="83"/>
    </row>
    <row r="6" spans="1:5" x14ac:dyDescent="0.25">
      <c r="A6" s="86" t="s">
        <v>141</v>
      </c>
      <c r="B6" s="82"/>
      <c r="C6" s="87">
        <v>2369095.6</v>
      </c>
      <c r="D6" s="84"/>
      <c r="E6" s="94"/>
    </row>
    <row r="7" spans="1:5" x14ac:dyDescent="0.25">
      <c r="A7" s="86" t="s">
        <v>142</v>
      </c>
      <c r="B7" s="82"/>
      <c r="C7" s="87">
        <v>75191.179999999993</v>
      </c>
      <c r="D7" s="84"/>
      <c r="E7" s="94"/>
    </row>
    <row r="8" spans="1:5" x14ac:dyDescent="0.25">
      <c r="A8" s="86" t="s">
        <v>143</v>
      </c>
      <c r="B8" s="82"/>
      <c r="C8" s="87">
        <v>1012494.57</v>
      </c>
      <c r="D8" s="84"/>
      <c r="E8" s="94"/>
    </row>
    <row r="9" spans="1:5" x14ac:dyDescent="0.25">
      <c r="A9" s="86" t="s">
        <v>144</v>
      </c>
      <c r="B9" s="82"/>
      <c r="C9" s="88">
        <f>((C6)+(C7))+(C8)</f>
        <v>3456781.35</v>
      </c>
      <c r="D9" s="85"/>
    </row>
    <row r="10" spans="1:5" x14ac:dyDescent="0.25">
      <c r="A10" s="86" t="s">
        <v>145</v>
      </c>
      <c r="B10" s="82"/>
      <c r="C10" s="89"/>
      <c r="D10" s="83"/>
    </row>
    <row r="11" spans="1:5" x14ac:dyDescent="0.25">
      <c r="A11" s="86" t="s">
        <v>146</v>
      </c>
      <c r="B11" s="82"/>
      <c r="C11" s="87">
        <v>54799.23</v>
      </c>
      <c r="D11" s="84"/>
      <c r="E11" s="95" t="s">
        <v>271</v>
      </c>
    </row>
    <row r="12" spans="1:5" x14ac:dyDescent="0.25">
      <c r="A12" s="86" t="s">
        <v>147</v>
      </c>
      <c r="B12" s="82"/>
      <c r="C12" s="88">
        <f>C11</f>
        <v>54799.23</v>
      </c>
      <c r="D12" s="85"/>
    </row>
    <row r="13" spans="1:5" x14ac:dyDescent="0.25">
      <c r="A13" s="86" t="s">
        <v>148</v>
      </c>
      <c r="B13" s="82"/>
      <c r="C13" s="89"/>
      <c r="D13" s="83"/>
    </row>
    <row r="14" spans="1:5" x14ac:dyDescent="0.25">
      <c r="A14" s="86" t="s">
        <v>149</v>
      </c>
      <c r="B14" s="82"/>
      <c r="C14" s="89"/>
      <c r="D14" s="83"/>
    </row>
    <row r="15" spans="1:5" x14ac:dyDescent="0.25">
      <c r="A15" s="86" t="s">
        <v>150</v>
      </c>
      <c r="B15" s="82"/>
      <c r="C15" s="87">
        <v>17869.64</v>
      </c>
      <c r="D15" s="84"/>
      <c r="E15" s="95" t="s">
        <v>272</v>
      </c>
    </row>
    <row r="16" spans="1:5" ht="32.25" customHeight="1" x14ac:dyDescent="0.25">
      <c r="A16" s="86" t="s">
        <v>151</v>
      </c>
      <c r="B16" s="82"/>
      <c r="C16" s="87">
        <v>70642.06</v>
      </c>
      <c r="D16" s="84"/>
      <c r="E16" s="95" t="s">
        <v>411</v>
      </c>
    </row>
    <row r="17" spans="1:4" x14ac:dyDescent="0.25">
      <c r="A17" s="86" t="s">
        <v>152</v>
      </c>
      <c r="B17" s="82"/>
      <c r="C17" s="88">
        <f>((C14)+(C15))+(C16)</f>
        <v>88511.7</v>
      </c>
      <c r="D17" s="85"/>
    </row>
    <row r="18" spans="1:4" x14ac:dyDescent="0.25">
      <c r="A18" s="86" t="s">
        <v>153</v>
      </c>
      <c r="B18" s="82"/>
      <c r="C18" s="87">
        <v>0</v>
      </c>
      <c r="D18" s="84"/>
    </row>
    <row r="19" spans="1:4" x14ac:dyDescent="0.25">
      <c r="A19" s="86" t="s">
        <v>154</v>
      </c>
      <c r="B19" s="82"/>
      <c r="C19" s="87">
        <f>0</f>
        <v>0</v>
      </c>
      <c r="D19" s="84"/>
    </row>
    <row r="20" spans="1:4" x14ac:dyDescent="0.25">
      <c r="A20" s="86" t="s">
        <v>155</v>
      </c>
      <c r="B20" s="82"/>
      <c r="C20" s="87">
        <v>0</v>
      </c>
      <c r="D20" s="84"/>
    </row>
    <row r="21" spans="1:4" x14ac:dyDescent="0.25">
      <c r="A21" s="86" t="s">
        <v>156</v>
      </c>
      <c r="B21" s="82"/>
      <c r="C21" s="88">
        <f>(((C17)+(C18))+(C19))+(C20)</f>
        <v>88511.7</v>
      </c>
      <c r="D21" s="85"/>
    </row>
    <row r="22" spans="1:4" x14ac:dyDescent="0.25">
      <c r="A22" s="86" t="s">
        <v>157</v>
      </c>
      <c r="B22" s="82"/>
      <c r="C22" s="88">
        <f>((C9)+(C12))+(C21)</f>
        <v>3600092.2800000003</v>
      </c>
      <c r="D22" s="85"/>
    </row>
    <row r="23" spans="1:4" x14ac:dyDescent="0.25">
      <c r="A23" s="86" t="s">
        <v>158</v>
      </c>
      <c r="B23" s="82"/>
      <c r="C23" s="89"/>
      <c r="D23" s="83"/>
    </row>
    <row r="24" spans="1:4" x14ac:dyDescent="0.25">
      <c r="A24" s="86" t="s">
        <v>159</v>
      </c>
      <c r="B24" s="82"/>
      <c r="C24" s="87">
        <v>371658.13</v>
      </c>
      <c r="D24" s="84"/>
    </row>
    <row r="25" spans="1:4" x14ac:dyDescent="0.25">
      <c r="A25" s="86" t="s">
        <v>160</v>
      </c>
      <c r="B25" s="82"/>
      <c r="C25" s="87">
        <v>-99799.64</v>
      </c>
      <c r="D25" s="84"/>
    </row>
    <row r="26" spans="1:4" x14ac:dyDescent="0.25">
      <c r="A26" s="86" t="s">
        <v>161</v>
      </c>
      <c r="B26" s="82"/>
      <c r="C26" s="88">
        <f>SUM(C24:C25)</f>
        <v>271858.49</v>
      </c>
      <c r="D26" s="85"/>
    </row>
    <row r="27" spans="1:4" x14ac:dyDescent="0.25">
      <c r="A27" s="86" t="s">
        <v>162</v>
      </c>
      <c r="B27" s="82"/>
      <c r="C27" s="87">
        <v>157236.51999999999</v>
      </c>
      <c r="D27" s="84"/>
    </row>
    <row r="28" spans="1:4" x14ac:dyDescent="0.25">
      <c r="A28" s="86" t="s">
        <v>163</v>
      </c>
      <c r="B28" s="82"/>
      <c r="C28" s="87">
        <v>-66922</v>
      </c>
      <c r="D28" s="84"/>
    </row>
    <row r="29" spans="1:4" x14ac:dyDescent="0.25">
      <c r="A29" s="86" t="s">
        <v>164</v>
      </c>
      <c r="B29" s="82"/>
      <c r="C29" s="88">
        <f>SUM(C27:C28)</f>
        <v>90314.51999999999</v>
      </c>
      <c r="D29" s="85"/>
    </row>
    <row r="30" spans="1:4" x14ac:dyDescent="0.25">
      <c r="A30" s="86" t="s">
        <v>165</v>
      </c>
      <c r="B30" s="82"/>
      <c r="C30" s="87">
        <v>15592.14</v>
      </c>
      <c r="D30" s="84"/>
    </row>
    <row r="31" spans="1:4" x14ac:dyDescent="0.25">
      <c r="A31" s="86" t="s">
        <v>166</v>
      </c>
      <c r="B31" s="82"/>
      <c r="C31" s="87">
        <v>-12992</v>
      </c>
      <c r="D31" s="84"/>
    </row>
    <row r="32" spans="1:4" x14ac:dyDescent="0.25">
      <c r="A32" s="86" t="s">
        <v>167</v>
      </c>
      <c r="B32" s="82"/>
      <c r="C32" s="88">
        <f>SUM(C30:C31)</f>
        <v>2600.1399999999994</v>
      </c>
      <c r="D32" s="85"/>
    </row>
    <row r="33" spans="1:4" x14ac:dyDescent="0.25">
      <c r="A33" s="86" t="s">
        <v>168</v>
      </c>
      <c r="B33" s="82"/>
      <c r="C33" s="87">
        <v>63843.7</v>
      </c>
      <c r="D33" s="84"/>
    </row>
    <row r="34" spans="1:4" x14ac:dyDescent="0.25">
      <c r="A34" s="86" t="s">
        <v>169</v>
      </c>
      <c r="B34" s="82"/>
      <c r="C34" s="87">
        <v>-27541</v>
      </c>
      <c r="D34" s="84"/>
    </row>
    <row r="35" spans="1:4" x14ac:dyDescent="0.25">
      <c r="A35" s="86" t="s">
        <v>170</v>
      </c>
      <c r="B35" s="82"/>
      <c r="C35" s="88">
        <f>SUM(C33:C34)</f>
        <v>36302.699999999997</v>
      </c>
      <c r="D35" s="85"/>
    </row>
    <row r="36" spans="1:4" x14ac:dyDescent="0.25">
      <c r="A36" s="86" t="s">
        <v>171</v>
      </c>
      <c r="B36" s="82"/>
      <c r="C36" s="88">
        <f>C26+C29+C32+C35</f>
        <v>401075.85000000003</v>
      </c>
      <c r="D36" s="85"/>
    </row>
    <row r="37" spans="1:4" x14ac:dyDescent="0.25">
      <c r="A37" s="86" t="s">
        <v>172</v>
      </c>
      <c r="B37" s="82"/>
      <c r="C37" s="89"/>
      <c r="D37" s="83"/>
    </row>
    <row r="38" spans="1:4" x14ac:dyDescent="0.25">
      <c r="A38" s="86" t="s">
        <v>173</v>
      </c>
      <c r="B38" s="82"/>
      <c r="C38" s="87">
        <v>0</v>
      </c>
      <c r="D38" s="84"/>
    </row>
    <row r="39" spans="1:4" x14ac:dyDescent="0.25">
      <c r="A39" s="86" t="s">
        <v>174</v>
      </c>
      <c r="B39" s="82"/>
      <c r="C39" s="88">
        <v>0</v>
      </c>
      <c r="D39" s="85"/>
    </row>
    <row r="40" spans="1:4" x14ac:dyDescent="0.25">
      <c r="A40" s="86" t="s">
        <v>175</v>
      </c>
      <c r="B40" s="82"/>
      <c r="C40" s="88">
        <f>C39+C36+C22</f>
        <v>4001168.1300000004</v>
      </c>
      <c r="D40" s="85"/>
    </row>
    <row r="41" spans="1:4" x14ac:dyDescent="0.25">
      <c r="A41" s="86" t="s">
        <v>176</v>
      </c>
      <c r="B41" s="82"/>
      <c r="C41" s="89"/>
      <c r="D41" s="83"/>
    </row>
    <row r="42" spans="1:4" x14ac:dyDescent="0.25">
      <c r="A42" s="86" t="s">
        <v>177</v>
      </c>
      <c r="B42" s="82"/>
      <c r="C42" s="89"/>
      <c r="D42" s="83"/>
    </row>
    <row r="43" spans="1:4" x14ac:dyDescent="0.25">
      <c r="A43" s="86" t="s">
        <v>178</v>
      </c>
      <c r="B43" s="82"/>
      <c r="C43" s="89"/>
      <c r="D43" s="83"/>
    </row>
    <row r="44" spans="1:4" x14ac:dyDescent="0.25">
      <c r="A44" s="86" t="s">
        <v>179</v>
      </c>
      <c r="B44" s="82"/>
      <c r="C44" s="89"/>
      <c r="D44" s="83"/>
    </row>
    <row r="45" spans="1:4" x14ac:dyDescent="0.25">
      <c r="A45" s="86" t="s">
        <v>180</v>
      </c>
      <c r="B45" s="82"/>
      <c r="C45" s="87">
        <v>41561.230000000003</v>
      </c>
      <c r="D45" s="84"/>
    </row>
    <row r="46" spans="1:4" x14ac:dyDescent="0.25">
      <c r="A46" s="86" t="s">
        <v>181</v>
      </c>
      <c r="B46" s="82"/>
      <c r="C46" s="88">
        <f>C45</f>
        <v>41561.230000000003</v>
      </c>
      <c r="D46" s="85"/>
    </row>
    <row r="47" spans="1:4" x14ac:dyDescent="0.25">
      <c r="A47" s="86" t="s">
        <v>182</v>
      </c>
      <c r="B47" s="82"/>
      <c r="C47" s="89"/>
      <c r="D47" s="83"/>
    </row>
    <row r="48" spans="1:4" x14ac:dyDescent="0.25">
      <c r="A48" s="86" t="s">
        <v>183</v>
      </c>
      <c r="B48" s="82"/>
      <c r="C48" s="87">
        <v>0</v>
      </c>
      <c r="D48" s="84"/>
    </row>
    <row r="49" spans="1:5" x14ac:dyDescent="0.25">
      <c r="A49" s="86" t="s">
        <v>184</v>
      </c>
      <c r="B49" s="82"/>
      <c r="C49" s="87">
        <v>0</v>
      </c>
      <c r="D49" s="84"/>
    </row>
    <row r="50" spans="1:5" x14ac:dyDescent="0.25">
      <c r="A50" s="86" t="s">
        <v>185</v>
      </c>
      <c r="B50" s="82"/>
      <c r="C50" s="88">
        <v>0</v>
      </c>
      <c r="D50" s="85"/>
    </row>
    <row r="51" spans="1:5" x14ac:dyDescent="0.25">
      <c r="A51" s="86" t="s">
        <v>186</v>
      </c>
      <c r="B51" s="82"/>
      <c r="C51" s="89"/>
      <c r="D51" s="83"/>
    </row>
    <row r="52" spans="1:5" x14ac:dyDescent="0.25">
      <c r="A52" s="86" t="s">
        <v>187</v>
      </c>
      <c r="B52" s="82"/>
      <c r="C52" s="87">
        <v>0</v>
      </c>
      <c r="D52" s="84"/>
    </row>
    <row r="53" spans="1:5" x14ac:dyDescent="0.25">
      <c r="A53" s="86" t="s">
        <v>188</v>
      </c>
      <c r="B53" s="82"/>
      <c r="C53" s="89"/>
      <c r="D53" s="83"/>
    </row>
    <row r="54" spans="1:5" x14ac:dyDescent="0.25">
      <c r="A54" s="86" t="s">
        <v>189</v>
      </c>
      <c r="B54" s="82"/>
      <c r="C54" s="87">
        <v>-0.11</v>
      </c>
      <c r="D54" s="84"/>
    </row>
    <row r="55" spans="1:5" x14ac:dyDescent="0.25">
      <c r="A55" s="86" t="s">
        <v>190</v>
      </c>
      <c r="B55" s="82"/>
      <c r="C55" s="87">
        <v>-0.36</v>
      </c>
      <c r="D55" s="84"/>
    </row>
    <row r="56" spans="1:5" x14ac:dyDescent="0.25">
      <c r="A56" s="86" t="s">
        <v>191</v>
      </c>
      <c r="B56" s="82"/>
      <c r="C56" s="87">
        <v>0</v>
      </c>
      <c r="D56" s="84"/>
    </row>
    <row r="57" spans="1:5" x14ac:dyDescent="0.25">
      <c r="A57" s="86" t="s">
        <v>192</v>
      </c>
      <c r="B57" s="82"/>
      <c r="C57" s="87">
        <v>0</v>
      </c>
      <c r="D57" s="84"/>
    </row>
    <row r="58" spans="1:5" x14ac:dyDescent="0.25">
      <c r="A58" s="86" t="s">
        <v>193</v>
      </c>
      <c r="B58" s="82"/>
      <c r="C58" s="87">
        <v>138</v>
      </c>
      <c r="D58" s="84"/>
    </row>
    <row r="59" spans="1:5" x14ac:dyDescent="0.25">
      <c r="A59" s="86" t="s">
        <v>194</v>
      </c>
      <c r="B59" s="82"/>
      <c r="C59" s="88">
        <f>SUM(C54:C58)</f>
        <v>137.53</v>
      </c>
      <c r="D59" s="85"/>
    </row>
    <row r="60" spans="1:5" x14ac:dyDescent="0.25">
      <c r="A60" s="86" t="s">
        <v>195</v>
      </c>
      <c r="B60" s="82"/>
      <c r="C60" s="87">
        <v>2900.97</v>
      </c>
      <c r="D60" s="84"/>
    </row>
    <row r="61" spans="1:5" x14ac:dyDescent="0.25">
      <c r="A61" s="86" t="s">
        <v>196</v>
      </c>
      <c r="B61" s="82"/>
      <c r="C61" s="87">
        <v>827170.34</v>
      </c>
      <c r="D61" s="84"/>
      <c r="E61" s="95" t="s">
        <v>562</v>
      </c>
    </row>
    <row r="62" spans="1:5" ht="30" x14ac:dyDescent="0.25">
      <c r="A62" s="86" t="s">
        <v>197</v>
      </c>
      <c r="B62" s="82"/>
      <c r="C62" s="87">
        <v>4140</v>
      </c>
      <c r="D62" s="84"/>
      <c r="E62" s="95" t="s">
        <v>458</v>
      </c>
    </row>
    <row r="63" spans="1:5" x14ac:dyDescent="0.25">
      <c r="A63" s="86" t="s">
        <v>198</v>
      </c>
      <c r="B63" s="82"/>
      <c r="C63" s="88">
        <f>SUM(C59:C62)</f>
        <v>834348.84</v>
      </c>
      <c r="D63" s="85"/>
    </row>
    <row r="64" spans="1:5" x14ac:dyDescent="0.25">
      <c r="A64" s="86" t="s">
        <v>199</v>
      </c>
      <c r="B64" s="82"/>
      <c r="C64" s="88">
        <f>C63+C50+C46</f>
        <v>875910.07</v>
      </c>
      <c r="D64" s="85"/>
    </row>
    <row r="65" spans="1:4" x14ac:dyDescent="0.25">
      <c r="A65" s="86" t="s">
        <v>200</v>
      </c>
      <c r="B65" s="82"/>
      <c r="C65" s="88">
        <f>C64</f>
        <v>875910.07</v>
      </c>
      <c r="D65" s="85"/>
    </row>
    <row r="66" spans="1:4" x14ac:dyDescent="0.25">
      <c r="A66" s="86" t="s">
        <v>201</v>
      </c>
      <c r="B66" s="82"/>
      <c r="C66" s="89"/>
      <c r="D66" s="83"/>
    </row>
    <row r="67" spans="1:4" x14ac:dyDescent="0.25">
      <c r="A67" s="86" t="s">
        <v>202</v>
      </c>
      <c r="B67" s="82"/>
      <c r="C67" s="87">
        <v>2789144.68</v>
      </c>
      <c r="D67" s="84"/>
    </row>
    <row r="68" spans="1:4" x14ac:dyDescent="0.25">
      <c r="A68" s="86" t="s">
        <v>203</v>
      </c>
      <c r="B68" s="82"/>
      <c r="C68" s="87">
        <v>336113.38</v>
      </c>
      <c r="D68" s="84"/>
    </row>
    <row r="69" spans="1:4" x14ac:dyDescent="0.25">
      <c r="A69" s="86" t="s">
        <v>204</v>
      </c>
      <c r="B69" s="82"/>
      <c r="C69" s="88">
        <f>SUM(C67:C68)</f>
        <v>3125258.06</v>
      </c>
      <c r="D69" s="85"/>
    </row>
    <row r="70" spans="1:4" x14ac:dyDescent="0.25">
      <c r="A70" s="86" t="s">
        <v>205</v>
      </c>
      <c r="B70" s="82"/>
      <c r="C70" s="88">
        <f>C69+C65</f>
        <v>4001168.13</v>
      </c>
      <c r="D70" s="85"/>
    </row>
    <row r="71" spans="1:4" x14ac:dyDescent="0.25">
      <c r="A71" s="86"/>
      <c r="B71" s="82"/>
      <c r="C71" s="83"/>
      <c r="D71" s="83"/>
    </row>
    <row r="73" spans="1:4" ht="12.75" customHeight="1" x14ac:dyDescent="0.25"/>
    <row r="74" spans="1:4" ht="12.75" customHeight="1" x14ac:dyDescent="0.25">
      <c r="A74" s="90"/>
      <c r="B74" s="90"/>
      <c r="C74" s="91"/>
    </row>
  </sheetData>
  <printOptions horizontalCentered="1" gridLines="1"/>
  <pageMargins left="0.25" right="0.25" top="0.75" bottom="0.75" header="0.3" footer="0.3"/>
  <pageSetup scale="63" orientation="portrait" r:id="rId1"/>
  <headerFooter>
    <oddFooter>&amp;A&amp;RPage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2"/>
  <sheetViews>
    <sheetView zoomScale="80" zoomScaleNormal="80" workbookViewId="0">
      <selection activeCell="K15" sqref="K15"/>
    </sheetView>
  </sheetViews>
  <sheetFormatPr defaultRowHeight="15" x14ac:dyDescent="0.25"/>
  <cols>
    <col min="1" max="2" width="4.42578125" customWidth="1"/>
    <col min="3" max="3" width="34.5703125" customWidth="1"/>
    <col min="4" max="4" width="0.85546875" customWidth="1"/>
    <col min="5" max="5" width="16.7109375" customWidth="1"/>
    <col min="6" max="6" width="0.85546875" customWidth="1"/>
    <col min="7" max="7" width="16.7109375" customWidth="1"/>
    <col min="8" max="8" width="0.85546875" customWidth="1"/>
    <col min="9" max="9" width="16.7109375" customWidth="1"/>
    <col min="10" max="10" width="0.85546875" customWidth="1"/>
    <col min="11" max="11" width="16.7109375" customWidth="1"/>
    <col min="12" max="12" width="0.85546875" customWidth="1"/>
    <col min="13" max="13" width="16.7109375" customWidth="1"/>
    <col min="14" max="14" width="0.85546875" customWidth="1"/>
    <col min="15" max="15" width="16.7109375" customWidth="1"/>
    <col min="16" max="16" width="0.85546875" customWidth="1"/>
    <col min="17" max="17" width="16.7109375" customWidth="1"/>
    <col min="18" max="18" width="0.85546875" customWidth="1"/>
    <col min="19" max="19" width="45.7109375" customWidth="1"/>
    <col min="21" max="21" width="11.7109375" bestFit="1" customWidth="1"/>
    <col min="22" max="22" width="12" bestFit="1" customWidth="1"/>
  </cols>
  <sheetData>
    <row r="1" spans="1:22" ht="15.75" thickBot="1" x14ac:dyDescent="0.3"/>
    <row r="2" spans="1:22" ht="65.099999999999994" customHeight="1" thickTop="1" thickBot="1" x14ac:dyDescent="0.3">
      <c r="A2" s="229" t="s">
        <v>555</v>
      </c>
      <c r="B2" s="229"/>
      <c r="C2" s="229"/>
      <c r="D2" s="1"/>
      <c r="E2" s="46" t="str">
        <f>'Operating Budget v Actual'!E2</f>
        <v>FY 12-13
Annual Approved Budget</v>
      </c>
      <c r="F2" s="34"/>
      <c r="G2" s="46" t="str">
        <f>'Operating Budget v Actual'!G2</f>
        <v>Budget Estimate
(Jul-Feb)</v>
      </c>
      <c r="H2" s="34"/>
      <c r="I2" s="47" t="str">
        <f>'Operating Budget v Actual'!I2</f>
        <v>Actuals 
(July-Feb)</v>
      </c>
      <c r="J2" s="35"/>
      <c r="K2" s="47" t="str">
        <f>'Operating Budget v Actual'!K2</f>
        <v>Variance
(July-Feb)</v>
      </c>
      <c r="L2" s="36"/>
      <c r="M2" s="47" t="str">
        <f>'Operating Budget v Actual'!O2</f>
        <v>Projections
(Mar-June)</v>
      </c>
      <c r="N2" s="37"/>
      <c r="O2" s="47" t="str">
        <f>'Operating Budget v Actual'!Q2</f>
        <v>Actuals (July-Feb) + Projections (Mar-June)</v>
      </c>
      <c r="P2" s="37"/>
      <c r="Q2" s="47" t="str">
        <f>'Operating Budget v Actual'!S2</f>
        <v>Projected Variance 
(2012-2013)</v>
      </c>
      <c r="R2" s="38"/>
      <c r="S2" s="47" t="s">
        <v>111</v>
      </c>
      <c r="U2" t="s">
        <v>465</v>
      </c>
      <c r="V2" t="s">
        <v>466</v>
      </c>
    </row>
    <row r="4" spans="1:22" x14ac:dyDescent="0.25">
      <c r="A4" s="5"/>
      <c r="B4" s="20"/>
      <c r="C4" s="4" t="s">
        <v>442</v>
      </c>
      <c r="E4" s="92">
        <v>-50000</v>
      </c>
      <c r="F4" s="92"/>
      <c r="G4" s="92">
        <f>E4</f>
        <v>-50000</v>
      </c>
      <c r="H4" s="92"/>
      <c r="I4" s="92">
        <v>-195157.34</v>
      </c>
      <c r="J4" s="92"/>
      <c r="K4" s="92">
        <f>I4-G4</f>
        <v>-145157.34</v>
      </c>
      <c r="L4" s="92"/>
      <c r="M4" s="147">
        <v>0</v>
      </c>
      <c r="N4" s="92"/>
      <c r="O4" s="92">
        <f>M4+I4</f>
        <v>-195157.34</v>
      </c>
      <c r="P4" s="92"/>
      <c r="Q4" s="92">
        <f>O4-E4</f>
        <v>-145157.34</v>
      </c>
      <c r="U4">
        <v>3</v>
      </c>
      <c r="V4" s="148">
        <f>O4/U4</f>
        <v>-65052.446666666663</v>
      </c>
    </row>
    <row r="5" spans="1:22" x14ac:dyDescent="0.25">
      <c r="A5" s="5"/>
      <c r="B5" s="20"/>
      <c r="C5" s="4" t="s">
        <v>443</v>
      </c>
      <c r="E5" s="92">
        <v>-13000</v>
      </c>
      <c r="F5" s="92"/>
      <c r="G5" s="92">
        <f t="shared" ref="G5:G7" si="0">E5</f>
        <v>-13000</v>
      </c>
      <c r="H5" s="92"/>
      <c r="I5" s="92">
        <v>-22729.759999999998</v>
      </c>
      <c r="J5" s="92"/>
      <c r="K5" s="92">
        <f t="shared" ref="K5:K7" si="1">I5-G5</f>
        <v>-9729.7599999999984</v>
      </c>
      <c r="L5" s="92"/>
      <c r="M5" s="147">
        <f>-33000-I5</f>
        <v>-10270.240000000002</v>
      </c>
      <c r="N5" s="92"/>
      <c r="O5" s="92">
        <f>M5+I5</f>
        <v>-33000</v>
      </c>
      <c r="P5" s="92"/>
      <c r="Q5" s="92">
        <f t="shared" ref="Q5:Q7" si="2">O5-E5</f>
        <v>-20000</v>
      </c>
      <c r="U5">
        <v>5</v>
      </c>
      <c r="V5" s="148">
        <f t="shared" ref="V5:V7" si="3">O5/U5</f>
        <v>-6600</v>
      </c>
    </row>
    <row r="6" spans="1:22" x14ac:dyDescent="0.25">
      <c r="A6" s="5"/>
      <c r="B6" s="20"/>
      <c r="C6" s="4" t="s">
        <v>444</v>
      </c>
      <c r="E6" s="92">
        <v>-1000</v>
      </c>
      <c r="F6" s="92"/>
      <c r="G6" s="92">
        <f t="shared" si="0"/>
        <v>-1000</v>
      </c>
      <c r="H6" s="92"/>
      <c r="I6" s="92">
        <v>0</v>
      </c>
      <c r="J6" s="92"/>
      <c r="K6" s="92">
        <f t="shared" si="1"/>
        <v>1000</v>
      </c>
      <c r="L6" s="92"/>
      <c r="M6" s="147">
        <v>0</v>
      </c>
      <c r="N6" s="92"/>
      <c r="O6" s="92">
        <f>M6+I6</f>
        <v>0</v>
      </c>
      <c r="P6" s="92"/>
      <c r="Q6" s="92">
        <f t="shared" si="2"/>
        <v>1000</v>
      </c>
      <c r="U6">
        <v>3</v>
      </c>
      <c r="V6" s="148">
        <f t="shared" si="3"/>
        <v>0</v>
      </c>
    </row>
    <row r="7" spans="1:22" ht="30" x14ac:dyDescent="0.25">
      <c r="A7" s="5"/>
      <c r="B7" s="20"/>
      <c r="C7" s="4" t="s">
        <v>445</v>
      </c>
      <c r="E7" s="92">
        <v>0</v>
      </c>
      <c r="F7" s="92"/>
      <c r="G7" s="92">
        <f t="shared" si="0"/>
        <v>0</v>
      </c>
      <c r="H7" s="92"/>
      <c r="I7" s="92">
        <v>-21473.7</v>
      </c>
      <c r="J7" s="92"/>
      <c r="K7" s="92">
        <f t="shared" si="1"/>
        <v>-21473.7</v>
      </c>
      <c r="L7" s="92"/>
      <c r="M7" s="147">
        <f>-157865</f>
        <v>-157865</v>
      </c>
      <c r="N7" s="92"/>
      <c r="O7" s="92">
        <f>M7+I7</f>
        <v>-179338.7</v>
      </c>
      <c r="P7" s="92"/>
      <c r="Q7" s="92">
        <f t="shared" si="2"/>
        <v>-179338.7</v>
      </c>
      <c r="S7" s="205" t="s">
        <v>559</v>
      </c>
      <c r="U7">
        <v>5</v>
      </c>
      <c r="V7" s="148">
        <f t="shared" si="3"/>
        <v>-35867.740000000005</v>
      </c>
    </row>
    <row r="8" spans="1:22" x14ac:dyDescent="0.25">
      <c r="E8" s="93">
        <f>SUM(E4:E7)</f>
        <v>-64000</v>
      </c>
      <c r="F8" s="92"/>
      <c r="G8" s="93">
        <f>SUM(G4:G7)</f>
        <v>-64000</v>
      </c>
      <c r="H8" s="92"/>
      <c r="I8" s="93">
        <f>SUM(I4:I7)</f>
        <v>-239360.80000000002</v>
      </c>
      <c r="J8" s="92"/>
      <c r="K8" s="93">
        <f>SUM(K4:K7)</f>
        <v>-175360.80000000002</v>
      </c>
      <c r="L8" s="92"/>
      <c r="M8" s="93">
        <f>SUM(M4:M7)</f>
        <v>-168135.24</v>
      </c>
      <c r="N8" s="92"/>
      <c r="O8" s="93">
        <f>SUM(O4:O7)</f>
        <v>-407496.04000000004</v>
      </c>
      <c r="P8" s="92"/>
      <c r="Q8" s="93">
        <f>SUM(Q4:Q7)</f>
        <v>-343496.04000000004</v>
      </c>
      <c r="V8" s="148">
        <f>SUM(V4:V7)</f>
        <v>-107520.18666666666</v>
      </c>
    </row>
    <row r="11" spans="1:22" x14ac:dyDescent="0.25">
      <c r="N11" t="s">
        <v>0</v>
      </c>
    </row>
    <row r="12" spans="1:22" x14ac:dyDescent="0.25">
      <c r="G12" t="s">
        <v>0</v>
      </c>
      <c r="K12" t="s">
        <v>0</v>
      </c>
      <c r="O12" t="s">
        <v>0</v>
      </c>
    </row>
  </sheetData>
  <mergeCells count="1">
    <mergeCell ref="A2:C2"/>
  </mergeCells>
  <conditionalFormatting sqref="K4:K8">
    <cfRule type="cellIs" dxfId="3" priority="1" operator="lessThan">
      <formula>0</formula>
    </cfRule>
    <cfRule type="cellIs" dxfId="2" priority="4" operator="greaterThan">
      <formula>0</formula>
    </cfRule>
  </conditionalFormatting>
  <conditionalFormatting sqref="Q4:Q8">
    <cfRule type="cellIs" dxfId="1" priority="2" operator="lessThan">
      <formula>0</formula>
    </cfRule>
    <cfRule type="cellIs" dxfId="0" priority="3" operator="greaterThan">
      <formula>0</formula>
    </cfRule>
  </conditionalFormatting>
  <printOptions horizontalCentered="1" gridLines="1"/>
  <pageMargins left="0.25" right="0.25" top="0.75" bottom="0.75" header="0.3" footer="0.3"/>
  <pageSetup scale="62" orientation="landscape" r:id="rId1"/>
  <headerFooter>
    <oddFooter>&amp;A&amp;RPage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26"/>
  <sheetViews>
    <sheetView zoomScale="80" zoomScaleNormal="80" workbookViewId="0">
      <selection activeCell="A2" sqref="A2:P2"/>
    </sheetView>
  </sheetViews>
  <sheetFormatPr defaultRowHeight="15" x14ac:dyDescent="0.25"/>
  <cols>
    <col min="1" max="1" width="30" style="48" bestFit="1" customWidth="1"/>
    <col min="2" max="6" width="9.140625" style="48" hidden="1" customWidth="1"/>
    <col min="7" max="9" width="9.28515625" style="48" bestFit="1" customWidth="1"/>
    <col min="10" max="10" width="9.140625" style="48" customWidth="1"/>
    <col min="11" max="14" width="9.140625" style="48" hidden="1" customWidth="1"/>
    <col min="15" max="15" width="9.28515625" style="48" bestFit="1" customWidth="1"/>
    <col min="16" max="16" width="24.42578125" style="48" bestFit="1" customWidth="1"/>
    <col min="17" max="17" width="9.140625" style="48"/>
    <col min="18" max="18" width="11.5703125" style="48" bestFit="1" customWidth="1"/>
    <col min="19" max="16384" width="9.140625" style="48"/>
  </cols>
  <sheetData>
    <row r="2" spans="1:24" ht="65.099999999999994" customHeight="1" x14ac:dyDescent="0.25">
      <c r="A2" s="230" t="s">
        <v>500</v>
      </c>
      <c r="B2" s="231"/>
      <c r="C2" s="231"/>
      <c r="D2" s="231"/>
      <c r="E2" s="231"/>
      <c r="F2" s="231"/>
      <c r="G2" s="231"/>
      <c r="H2" s="231"/>
      <c r="I2" s="231"/>
      <c r="J2" s="231"/>
      <c r="K2" s="231"/>
      <c r="L2" s="231"/>
      <c r="M2" s="231"/>
      <c r="N2" s="231"/>
      <c r="O2" s="231"/>
      <c r="P2" s="231"/>
    </row>
    <row r="3" spans="1:24" s="50" customFormat="1" x14ac:dyDescent="0.25">
      <c r="A3" s="49"/>
      <c r="B3" s="236" t="s">
        <v>112</v>
      </c>
      <c r="C3" s="235"/>
      <c r="D3" s="235"/>
      <c r="E3" s="235"/>
      <c r="F3" s="235"/>
      <c r="G3" s="235"/>
      <c r="H3" s="235"/>
      <c r="I3" s="235"/>
      <c r="J3" s="235"/>
      <c r="K3" s="235"/>
      <c r="L3" s="235"/>
      <c r="M3" s="235"/>
      <c r="N3" s="237"/>
      <c r="O3" s="49"/>
      <c r="P3" s="49"/>
    </row>
    <row r="4" spans="1:24" ht="30" x14ac:dyDescent="0.25">
      <c r="A4" s="51" t="s">
        <v>113</v>
      </c>
      <c r="B4" s="52" t="s">
        <v>114</v>
      </c>
      <c r="C4" s="52">
        <v>1</v>
      </c>
      <c r="D4" s="52">
        <v>2</v>
      </c>
      <c r="E4" s="52">
        <v>3</v>
      </c>
      <c r="F4" s="52">
        <v>4</v>
      </c>
      <c r="G4" s="52">
        <v>5</v>
      </c>
      <c r="H4" s="52">
        <v>6</v>
      </c>
      <c r="I4" s="52">
        <v>7</v>
      </c>
      <c r="J4" s="52">
        <v>8</v>
      </c>
      <c r="K4" s="52">
        <v>9</v>
      </c>
      <c r="L4" s="52">
        <v>10</v>
      </c>
      <c r="M4" s="52">
        <v>11</v>
      </c>
      <c r="N4" s="52">
        <v>12</v>
      </c>
      <c r="O4" s="53" t="s">
        <v>115</v>
      </c>
      <c r="P4" s="54" t="s">
        <v>459</v>
      </c>
    </row>
    <row r="5" spans="1:24" x14ac:dyDescent="0.25">
      <c r="A5" s="55" t="s">
        <v>116</v>
      </c>
      <c r="B5" s="56">
        <v>0</v>
      </c>
      <c r="C5" s="56">
        <v>0</v>
      </c>
      <c r="D5" s="56">
        <v>0</v>
      </c>
      <c r="E5" s="56">
        <v>0</v>
      </c>
      <c r="F5" s="56">
        <v>0</v>
      </c>
      <c r="G5" s="56">
        <v>0</v>
      </c>
      <c r="H5" s="56">
        <v>0</v>
      </c>
      <c r="I5" s="56">
        <v>0</v>
      </c>
      <c r="J5" s="56">
        <v>0</v>
      </c>
      <c r="K5" s="56">
        <v>0</v>
      </c>
      <c r="L5" s="56">
        <v>0</v>
      </c>
      <c r="M5" s="56">
        <v>0</v>
      </c>
      <c r="N5" s="56">
        <v>0</v>
      </c>
      <c r="O5" s="56">
        <v>290</v>
      </c>
      <c r="P5" s="57">
        <f>O5*13527</f>
        <v>3922830</v>
      </c>
    </row>
    <row r="6" spans="1:24" x14ac:dyDescent="0.25">
      <c r="A6" s="55" t="s">
        <v>117</v>
      </c>
      <c r="B6" s="58">
        <v>0</v>
      </c>
      <c r="C6" s="58">
        <v>0</v>
      </c>
      <c r="D6" s="58">
        <v>0</v>
      </c>
      <c r="E6" s="58">
        <v>0</v>
      </c>
      <c r="F6" s="58">
        <v>0</v>
      </c>
      <c r="G6" s="58">
        <v>89.972999999999999</v>
      </c>
      <c r="H6" s="58">
        <v>87.66</v>
      </c>
      <c r="I6" s="58">
        <v>72.682000000000002</v>
      </c>
      <c r="J6" s="58">
        <v>51.512</v>
      </c>
      <c r="K6" s="58">
        <v>0</v>
      </c>
      <c r="L6" s="58">
        <v>0</v>
      </c>
      <c r="M6" s="58">
        <v>0</v>
      </c>
      <c r="N6" s="58">
        <v>0</v>
      </c>
      <c r="O6" s="58">
        <f>SUM(B6:N6)</f>
        <v>301.827</v>
      </c>
      <c r="P6" s="57">
        <f>O6*13527</f>
        <v>4082813.8289999999</v>
      </c>
      <c r="R6" s="79"/>
    </row>
    <row r="7" spans="1:24" x14ac:dyDescent="0.25">
      <c r="A7" s="55" t="s">
        <v>118</v>
      </c>
      <c r="B7" s="58">
        <f>B6-B5</f>
        <v>0</v>
      </c>
      <c r="C7" s="58">
        <f t="shared" ref="C7:O7" si="0">C6-C5</f>
        <v>0</v>
      </c>
      <c r="D7" s="58">
        <f t="shared" si="0"/>
        <v>0</v>
      </c>
      <c r="E7" s="58">
        <f t="shared" si="0"/>
        <v>0</v>
      </c>
      <c r="F7" s="58">
        <f t="shared" si="0"/>
        <v>0</v>
      </c>
      <c r="G7" s="58">
        <f t="shared" si="0"/>
        <v>89.972999999999999</v>
      </c>
      <c r="H7" s="58">
        <f t="shared" si="0"/>
        <v>87.66</v>
      </c>
      <c r="I7" s="58">
        <f t="shared" si="0"/>
        <v>72.682000000000002</v>
      </c>
      <c r="J7" s="58">
        <f t="shared" si="0"/>
        <v>51.512</v>
      </c>
      <c r="K7" s="58">
        <f t="shared" si="0"/>
        <v>0</v>
      </c>
      <c r="L7" s="58">
        <f t="shared" si="0"/>
        <v>0</v>
      </c>
      <c r="M7" s="58">
        <f t="shared" si="0"/>
        <v>0</v>
      </c>
      <c r="N7" s="58">
        <f t="shared" si="0"/>
        <v>0</v>
      </c>
      <c r="O7" s="58">
        <f t="shared" si="0"/>
        <v>11.826999999999998</v>
      </c>
      <c r="P7" s="57">
        <f>O7*13527</f>
        <v>159983.82899999997</v>
      </c>
      <c r="R7" s="79"/>
    </row>
    <row r="8" spans="1:24" x14ac:dyDescent="0.25">
      <c r="A8" s="232" t="s">
        <v>119</v>
      </c>
      <c r="B8" s="233"/>
      <c r="C8" s="233"/>
      <c r="D8" s="233"/>
      <c r="E8" s="233"/>
      <c r="F8" s="233"/>
      <c r="G8" s="233"/>
      <c r="H8" s="233"/>
      <c r="I8" s="233"/>
      <c r="J8" s="233"/>
      <c r="K8" s="233"/>
      <c r="L8" s="233"/>
      <c r="M8" s="233"/>
      <c r="N8" s="233"/>
      <c r="O8" s="234"/>
      <c r="P8" s="59">
        <f>P7</f>
        <v>159983.82899999997</v>
      </c>
    </row>
    <row r="9" spans="1:24" x14ac:dyDescent="0.25">
      <c r="A9" s="60"/>
      <c r="B9" s="61"/>
      <c r="C9" s="61"/>
      <c r="D9" s="61"/>
      <c r="E9" s="61"/>
      <c r="F9" s="61"/>
      <c r="G9" s="61"/>
      <c r="H9" s="61"/>
      <c r="I9" s="61"/>
      <c r="J9" s="61"/>
      <c r="K9" s="61"/>
      <c r="L9" s="61"/>
      <c r="M9" s="61"/>
      <c r="N9" s="61"/>
      <c r="O9" s="61"/>
      <c r="P9" s="62"/>
    </row>
    <row r="10" spans="1:24" ht="65.099999999999994" customHeight="1" x14ac:dyDescent="0.25">
      <c r="A10" s="230" t="s">
        <v>501</v>
      </c>
      <c r="B10" s="231"/>
      <c r="C10" s="231"/>
      <c r="D10" s="231"/>
      <c r="E10" s="231"/>
      <c r="F10" s="231"/>
      <c r="G10" s="231"/>
      <c r="H10" s="231"/>
      <c r="I10" s="231"/>
      <c r="J10" s="231"/>
      <c r="K10" s="231"/>
      <c r="L10" s="231"/>
      <c r="M10" s="231"/>
      <c r="N10" s="231"/>
      <c r="O10" s="231"/>
      <c r="P10" s="231"/>
      <c r="R10" s="48" t="s">
        <v>0</v>
      </c>
    </row>
    <row r="11" spans="1:24" s="50" customFormat="1" x14ac:dyDescent="0.25">
      <c r="A11" s="49"/>
      <c r="B11" s="63"/>
      <c r="C11" s="63"/>
      <c r="D11" s="63"/>
      <c r="E11" s="63"/>
      <c r="F11" s="63"/>
      <c r="G11" s="235" t="s">
        <v>112</v>
      </c>
      <c r="H11" s="235"/>
      <c r="I11" s="235"/>
      <c r="J11" s="63"/>
      <c r="K11" s="63"/>
      <c r="L11" s="63"/>
      <c r="M11" s="63"/>
      <c r="N11" s="63"/>
      <c r="O11" s="49"/>
      <c r="P11" s="49"/>
    </row>
    <row r="12" spans="1:24" ht="30" x14ac:dyDescent="0.25">
      <c r="A12" s="51" t="s">
        <v>120</v>
      </c>
      <c r="B12" s="64" t="s">
        <v>114</v>
      </c>
      <c r="C12" s="64">
        <v>1</v>
      </c>
      <c r="D12" s="64">
        <v>2</v>
      </c>
      <c r="E12" s="64">
        <v>3</v>
      </c>
      <c r="F12" s="64">
        <v>4</v>
      </c>
      <c r="G12" s="64">
        <v>5</v>
      </c>
      <c r="H12" s="64">
        <v>6</v>
      </c>
      <c r="I12" s="64">
        <v>7</v>
      </c>
      <c r="J12" s="64">
        <v>8</v>
      </c>
      <c r="K12" s="64">
        <v>9</v>
      </c>
      <c r="L12" s="64">
        <v>10</v>
      </c>
      <c r="M12" s="64">
        <v>11</v>
      </c>
      <c r="N12" s="64">
        <v>12</v>
      </c>
      <c r="O12" s="53" t="s">
        <v>115</v>
      </c>
      <c r="P12" s="57" t="s">
        <v>459</v>
      </c>
    </row>
    <row r="13" spans="1:24" x14ac:dyDescent="0.25">
      <c r="A13" s="65" t="s">
        <v>121</v>
      </c>
      <c r="B13" s="66">
        <v>0</v>
      </c>
      <c r="C13" s="66">
        <v>0</v>
      </c>
      <c r="D13" s="66">
        <v>0</v>
      </c>
      <c r="E13" s="66">
        <v>0</v>
      </c>
      <c r="F13" s="66">
        <v>0</v>
      </c>
      <c r="G13" s="66">
        <v>0</v>
      </c>
      <c r="H13" s="66">
        <v>0</v>
      </c>
      <c r="I13" s="66">
        <v>0</v>
      </c>
      <c r="J13" s="66">
        <v>0</v>
      </c>
      <c r="K13" s="66">
        <v>0</v>
      </c>
      <c r="L13" s="66">
        <v>0</v>
      </c>
      <c r="M13" s="66">
        <v>0</v>
      </c>
      <c r="N13" s="66">
        <v>0</v>
      </c>
      <c r="O13" s="67">
        <f>SUM(B13:N13)</f>
        <v>0</v>
      </c>
      <c r="P13" s="68">
        <f>O13*0</f>
        <v>0</v>
      </c>
    </row>
    <row r="14" spans="1:24" x14ac:dyDescent="0.25">
      <c r="A14" s="69" t="s">
        <v>122</v>
      </c>
      <c r="B14" s="70">
        <v>0</v>
      </c>
      <c r="C14" s="70">
        <v>0</v>
      </c>
      <c r="D14" s="70">
        <v>0</v>
      </c>
      <c r="E14" s="70">
        <v>0</v>
      </c>
      <c r="F14" s="70">
        <v>0</v>
      </c>
      <c r="G14" s="70">
        <v>1</v>
      </c>
      <c r="H14" s="70">
        <v>1</v>
      </c>
      <c r="I14" s="70">
        <v>0</v>
      </c>
      <c r="J14" s="70">
        <v>1</v>
      </c>
      <c r="K14" s="70">
        <v>0</v>
      </c>
      <c r="L14" s="70">
        <v>0</v>
      </c>
      <c r="M14" s="70">
        <v>0</v>
      </c>
      <c r="N14" s="70">
        <v>0</v>
      </c>
      <c r="O14" s="71">
        <f>SUM(B14:N14)</f>
        <v>3</v>
      </c>
      <c r="P14" s="72">
        <f>O14*0</f>
        <v>0</v>
      </c>
      <c r="Q14" s="50"/>
      <c r="R14" s="50"/>
      <c r="S14" s="50"/>
      <c r="T14" s="50"/>
      <c r="U14" s="50"/>
      <c r="V14" s="50"/>
      <c r="W14" s="50"/>
      <c r="X14" s="50"/>
    </row>
    <row r="15" spans="1:24" x14ac:dyDescent="0.25">
      <c r="A15" s="55" t="s">
        <v>123</v>
      </c>
      <c r="B15" s="76">
        <f>B14-B13</f>
        <v>0</v>
      </c>
      <c r="C15" s="76">
        <f t="shared" ref="C15:P15" si="1">C14-C13</f>
        <v>0</v>
      </c>
      <c r="D15" s="76">
        <f t="shared" si="1"/>
        <v>0</v>
      </c>
      <c r="E15" s="76">
        <f t="shared" si="1"/>
        <v>0</v>
      </c>
      <c r="F15" s="76">
        <f t="shared" si="1"/>
        <v>0</v>
      </c>
      <c r="G15" s="76">
        <f t="shared" si="1"/>
        <v>1</v>
      </c>
      <c r="H15" s="76">
        <f t="shared" si="1"/>
        <v>1</v>
      </c>
      <c r="I15" s="76">
        <f t="shared" si="1"/>
        <v>0</v>
      </c>
      <c r="J15" s="76">
        <f t="shared" si="1"/>
        <v>1</v>
      </c>
      <c r="K15" s="76">
        <f t="shared" si="1"/>
        <v>0</v>
      </c>
      <c r="L15" s="76">
        <f t="shared" si="1"/>
        <v>0</v>
      </c>
      <c r="M15" s="76">
        <f t="shared" si="1"/>
        <v>0</v>
      </c>
      <c r="N15" s="76">
        <f t="shared" si="1"/>
        <v>0</v>
      </c>
      <c r="O15" s="76">
        <f t="shared" si="1"/>
        <v>3</v>
      </c>
      <c r="P15" s="77">
        <f t="shared" si="1"/>
        <v>0</v>
      </c>
      <c r="Q15" s="50"/>
      <c r="R15" s="50"/>
      <c r="S15" s="50"/>
      <c r="T15" s="50"/>
      <c r="U15" s="50"/>
      <c r="V15" s="50"/>
      <c r="W15" s="50"/>
      <c r="X15" s="50"/>
    </row>
    <row r="16" spans="1:24" x14ac:dyDescent="0.25">
      <c r="A16" s="69"/>
      <c r="B16" s="61"/>
      <c r="C16" s="61"/>
      <c r="D16" s="61"/>
      <c r="E16" s="61"/>
      <c r="F16" s="61"/>
      <c r="G16" s="61"/>
      <c r="H16" s="61"/>
      <c r="I16" s="61"/>
      <c r="J16" s="61"/>
      <c r="K16" s="61"/>
      <c r="L16" s="61"/>
      <c r="M16" s="61"/>
      <c r="N16" s="61"/>
      <c r="O16" s="67"/>
      <c r="P16" s="73"/>
      <c r="Q16" s="50"/>
      <c r="R16" s="50"/>
      <c r="S16" s="50"/>
      <c r="T16" s="50"/>
      <c r="U16" s="50"/>
      <c r="V16" s="50"/>
      <c r="W16" s="50"/>
      <c r="X16" s="50"/>
    </row>
    <row r="17" spans="1:24" x14ac:dyDescent="0.25">
      <c r="A17" s="69" t="s">
        <v>124</v>
      </c>
      <c r="B17" s="61">
        <v>0</v>
      </c>
      <c r="C17" s="61">
        <v>0</v>
      </c>
      <c r="D17" s="61">
        <v>0</v>
      </c>
      <c r="E17" s="61">
        <v>0</v>
      </c>
      <c r="F17" s="61">
        <v>0</v>
      </c>
      <c r="G17" s="61">
        <v>0</v>
      </c>
      <c r="H17" s="61">
        <v>0</v>
      </c>
      <c r="I17" s="61">
        <v>0</v>
      </c>
      <c r="J17" s="61">
        <v>0</v>
      </c>
      <c r="K17" s="61">
        <v>0</v>
      </c>
      <c r="L17" s="61">
        <v>0</v>
      </c>
      <c r="M17" s="61">
        <v>0</v>
      </c>
      <c r="N17" s="61">
        <v>0</v>
      </c>
      <c r="O17" s="67">
        <v>20</v>
      </c>
      <c r="P17" s="72">
        <f>O17*10390</f>
        <v>207800</v>
      </c>
      <c r="Q17" s="50"/>
      <c r="R17" s="50"/>
      <c r="S17" s="50"/>
      <c r="T17" s="50"/>
      <c r="U17" s="50"/>
      <c r="V17" s="50"/>
      <c r="W17" s="50"/>
      <c r="X17" s="50"/>
    </row>
    <row r="18" spans="1:24" x14ac:dyDescent="0.25">
      <c r="A18" s="69" t="s">
        <v>125</v>
      </c>
      <c r="B18" s="70">
        <v>0</v>
      </c>
      <c r="C18" s="70">
        <v>0</v>
      </c>
      <c r="D18" s="70">
        <v>0</v>
      </c>
      <c r="E18" s="70">
        <v>0</v>
      </c>
      <c r="F18" s="70">
        <v>0</v>
      </c>
      <c r="G18" s="70">
        <v>3</v>
      </c>
      <c r="H18" s="70">
        <v>12</v>
      </c>
      <c r="I18" s="70">
        <v>3</v>
      </c>
      <c r="J18" s="70">
        <v>7</v>
      </c>
      <c r="K18" s="70">
        <v>0</v>
      </c>
      <c r="L18" s="70">
        <v>0</v>
      </c>
      <c r="M18" s="70">
        <v>0</v>
      </c>
      <c r="N18" s="70">
        <v>0</v>
      </c>
      <c r="O18" s="71">
        <f>SUM(B18:N18)</f>
        <v>25</v>
      </c>
      <c r="P18" s="74">
        <f>O18*10390</f>
        <v>259750</v>
      </c>
      <c r="Q18" s="50"/>
      <c r="R18" s="50"/>
      <c r="S18" s="50"/>
      <c r="T18" s="50"/>
      <c r="U18" s="50"/>
      <c r="V18" s="50"/>
      <c r="W18" s="50"/>
      <c r="X18" s="50"/>
    </row>
    <row r="19" spans="1:24" x14ac:dyDescent="0.25">
      <c r="A19" s="55" t="s">
        <v>126</v>
      </c>
      <c r="B19" s="76">
        <f>B18-B17</f>
        <v>0</v>
      </c>
      <c r="C19" s="76">
        <f t="shared" ref="C19:P19" si="2">C18-C17</f>
        <v>0</v>
      </c>
      <c r="D19" s="76">
        <f t="shared" si="2"/>
        <v>0</v>
      </c>
      <c r="E19" s="76">
        <f t="shared" si="2"/>
        <v>0</v>
      </c>
      <c r="F19" s="76">
        <f t="shared" si="2"/>
        <v>0</v>
      </c>
      <c r="G19" s="76">
        <f t="shared" si="2"/>
        <v>3</v>
      </c>
      <c r="H19" s="76">
        <f t="shared" si="2"/>
        <v>12</v>
      </c>
      <c r="I19" s="76">
        <f t="shared" si="2"/>
        <v>3</v>
      </c>
      <c r="J19" s="76">
        <f t="shared" si="2"/>
        <v>7</v>
      </c>
      <c r="K19" s="76">
        <f t="shared" si="2"/>
        <v>0</v>
      </c>
      <c r="L19" s="76">
        <f t="shared" si="2"/>
        <v>0</v>
      </c>
      <c r="M19" s="76">
        <f t="shared" si="2"/>
        <v>0</v>
      </c>
      <c r="N19" s="76">
        <f t="shared" si="2"/>
        <v>0</v>
      </c>
      <c r="O19" s="58">
        <f t="shared" si="2"/>
        <v>5</v>
      </c>
      <c r="P19" s="78">
        <f t="shared" si="2"/>
        <v>51950</v>
      </c>
      <c r="Q19" s="50"/>
      <c r="R19" s="50"/>
      <c r="S19" s="50"/>
      <c r="T19" s="50"/>
      <c r="U19" s="50"/>
      <c r="V19" s="50"/>
      <c r="W19" s="50"/>
      <c r="X19" s="50"/>
    </row>
    <row r="20" spans="1:24" x14ac:dyDescent="0.25">
      <c r="A20" s="69"/>
      <c r="B20" s="61"/>
      <c r="C20" s="61"/>
      <c r="D20" s="61"/>
      <c r="E20" s="61"/>
      <c r="F20" s="61"/>
      <c r="G20" s="61"/>
      <c r="H20" s="61"/>
      <c r="I20" s="61"/>
      <c r="J20" s="61"/>
      <c r="K20" s="61"/>
      <c r="L20" s="61"/>
      <c r="M20" s="61"/>
      <c r="N20" s="61"/>
      <c r="O20" s="67"/>
      <c r="P20" s="73"/>
      <c r="Q20" s="50"/>
      <c r="R20" s="50"/>
      <c r="S20" s="50"/>
      <c r="T20" s="50"/>
      <c r="U20" s="50"/>
      <c r="V20" s="50"/>
      <c r="W20" s="50"/>
      <c r="X20" s="50"/>
    </row>
    <row r="21" spans="1:24" x14ac:dyDescent="0.25">
      <c r="A21" s="69" t="s">
        <v>127</v>
      </c>
      <c r="B21" s="61">
        <v>0</v>
      </c>
      <c r="C21" s="61">
        <v>0</v>
      </c>
      <c r="D21" s="61">
        <v>0</v>
      </c>
      <c r="E21" s="61">
        <v>0</v>
      </c>
      <c r="F21" s="61">
        <v>0</v>
      </c>
      <c r="G21" s="61">
        <v>0</v>
      </c>
      <c r="H21" s="61">
        <v>0</v>
      </c>
      <c r="I21" s="61">
        <v>0</v>
      </c>
      <c r="J21" s="61">
        <v>0</v>
      </c>
      <c r="K21" s="61">
        <v>0</v>
      </c>
      <c r="L21" s="61">
        <v>0</v>
      </c>
      <c r="M21" s="61">
        <v>0</v>
      </c>
      <c r="N21" s="61">
        <v>0</v>
      </c>
      <c r="O21" s="67">
        <v>20</v>
      </c>
      <c r="P21" s="72">
        <f>O21*19049</f>
        <v>380980</v>
      </c>
      <c r="Q21" s="50"/>
      <c r="R21" s="50"/>
      <c r="S21" s="50"/>
      <c r="T21" s="50"/>
      <c r="U21" s="50"/>
      <c r="V21" s="50"/>
      <c r="W21" s="50"/>
      <c r="X21" s="50"/>
    </row>
    <row r="22" spans="1:24" x14ac:dyDescent="0.25">
      <c r="A22" s="69" t="s">
        <v>128</v>
      </c>
      <c r="B22" s="70">
        <v>0</v>
      </c>
      <c r="C22" s="70">
        <v>0</v>
      </c>
      <c r="D22" s="70">
        <v>0</v>
      </c>
      <c r="E22" s="70">
        <v>0</v>
      </c>
      <c r="F22" s="70">
        <v>0</v>
      </c>
      <c r="G22" s="70">
        <v>9.4149999999999991</v>
      </c>
      <c r="H22" s="70">
        <v>4.4640000000000004</v>
      </c>
      <c r="I22" s="70">
        <v>6</v>
      </c>
      <c r="J22" s="70">
        <v>4</v>
      </c>
      <c r="K22" s="70">
        <v>0</v>
      </c>
      <c r="L22" s="70">
        <v>0</v>
      </c>
      <c r="M22" s="70">
        <v>0</v>
      </c>
      <c r="N22" s="70">
        <v>0</v>
      </c>
      <c r="O22" s="71">
        <f>SUM(B22:N22)</f>
        <v>23.878999999999998</v>
      </c>
      <c r="P22" s="75">
        <f>O22*19049</f>
        <v>454871.07099999994</v>
      </c>
      <c r="Q22" s="50"/>
      <c r="R22" s="50"/>
      <c r="S22" s="50"/>
      <c r="T22" s="50"/>
      <c r="U22" s="50"/>
      <c r="V22" s="50"/>
      <c r="W22" s="50"/>
      <c r="X22" s="50"/>
    </row>
    <row r="23" spans="1:24" x14ac:dyDescent="0.25">
      <c r="A23" s="55" t="s">
        <v>129</v>
      </c>
      <c r="B23" s="76">
        <f>B22-B21</f>
        <v>0</v>
      </c>
      <c r="C23" s="76">
        <f t="shared" ref="C23:P23" si="3">C22-C21</f>
        <v>0</v>
      </c>
      <c r="D23" s="76">
        <f t="shared" si="3"/>
        <v>0</v>
      </c>
      <c r="E23" s="76">
        <f t="shared" si="3"/>
        <v>0</v>
      </c>
      <c r="F23" s="76">
        <f t="shared" si="3"/>
        <v>0</v>
      </c>
      <c r="G23" s="76">
        <f t="shared" si="3"/>
        <v>9.4149999999999991</v>
      </c>
      <c r="H23" s="76">
        <f t="shared" si="3"/>
        <v>4.4640000000000004</v>
      </c>
      <c r="I23" s="76">
        <f t="shared" si="3"/>
        <v>6</v>
      </c>
      <c r="J23" s="76">
        <f t="shared" si="3"/>
        <v>4</v>
      </c>
      <c r="K23" s="76">
        <f t="shared" si="3"/>
        <v>0</v>
      </c>
      <c r="L23" s="76">
        <f t="shared" si="3"/>
        <v>0</v>
      </c>
      <c r="M23" s="76">
        <f t="shared" si="3"/>
        <v>0</v>
      </c>
      <c r="N23" s="76">
        <f t="shared" si="3"/>
        <v>0</v>
      </c>
      <c r="O23" s="58">
        <f t="shared" si="3"/>
        <v>3.8789999999999978</v>
      </c>
      <c r="P23" s="78">
        <f t="shared" si="3"/>
        <v>73891.070999999938</v>
      </c>
      <c r="Q23" s="50"/>
      <c r="R23" s="50"/>
      <c r="S23" s="50"/>
      <c r="T23" s="50"/>
    </row>
    <row r="24" spans="1:24" x14ac:dyDescent="0.25">
      <c r="A24" s="232" t="s">
        <v>119</v>
      </c>
      <c r="B24" s="233"/>
      <c r="C24" s="233"/>
      <c r="D24" s="233"/>
      <c r="E24" s="233"/>
      <c r="F24" s="233"/>
      <c r="G24" s="233"/>
      <c r="H24" s="233"/>
      <c r="I24" s="233"/>
      <c r="J24" s="233"/>
      <c r="K24" s="233"/>
      <c r="L24" s="233"/>
      <c r="M24" s="233"/>
      <c r="N24" s="233"/>
      <c r="O24" s="234"/>
      <c r="P24" s="59">
        <f>P23+P19+P15</f>
        <v>125841.07099999994</v>
      </c>
    </row>
    <row r="26" spans="1:24" x14ac:dyDescent="0.25">
      <c r="M26" s="48" t="s">
        <v>0</v>
      </c>
      <c r="O26" s="131"/>
    </row>
  </sheetData>
  <protectedRanges>
    <protectedRange sqref="B13:N24 B8:O8 B9:N9 B5:N7 O7 O15:P15 O19:P19 O23:P23" name="Range3"/>
  </protectedRanges>
  <mergeCells count="6">
    <mergeCell ref="A2:P2"/>
    <mergeCell ref="A8:O8"/>
    <mergeCell ref="A10:P10"/>
    <mergeCell ref="G11:I11"/>
    <mergeCell ref="A24:O24"/>
    <mergeCell ref="B3:N3"/>
  </mergeCells>
  <printOptions horizontalCentered="1" gridLines="1"/>
  <pageMargins left="0.25" right="0.25" top="0.75" bottom="0.75" header="0.3" footer="0.3"/>
  <pageSetup scale="89" orientation="portrait" r:id="rId1"/>
  <headerFooter>
    <oddFooter>&amp;A&amp;RPage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61"/>
  <sheetViews>
    <sheetView zoomScaleNormal="100" workbookViewId="0">
      <pane ySplit="6" topLeftCell="A138" activePane="bottomLeft" state="frozen"/>
      <selection pane="bottomLeft" activeCell="L157" sqref="L157"/>
    </sheetView>
  </sheetViews>
  <sheetFormatPr defaultRowHeight="11.25" x14ac:dyDescent="0.2"/>
  <cols>
    <col min="1" max="1" width="40.28515625" style="137" bestFit="1" customWidth="1"/>
    <col min="2" max="3" width="10.85546875" style="137" bestFit="1" customWidth="1"/>
    <col min="4" max="4" width="10.5703125" style="137" bestFit="1" customWidth="1"/>
    <col min="5" max="5" width="9.28515625" style="137" bestFit="1" customWidth="1"/>
    <col min="6" max="6" width="15.140625" style="137" customWidth="1"/>
    <col min="7" max="7" width="18.42578125" style="137" customWidth="1"/>
    <col min="8" max="256" width="9.140625" style="137"/>
    <col min="257" max="257" width="51" style="137" customWidth="1"/>
    <col min="258" max="260" width="15" style="137" customWidth="1"/>
    <col min="261" max="512" width="9.140625" style="137"/>
    <col min="513" max="513" width="51" style="137" customWidth="1"/>
    <col min="514" max="516" width="15" style="137" customWidth="1"/>
    <col min="517" max="768" width="9.140625" style="137"/>
    <col min="769" max="769" width="51" style="137" customWidth="1"/>
    <col min="770" max="772" width="15" style="137" customWidth="1"/>
    <col min="773" max="1024" width="9.140625" style="137"/>
    <col min="1025" max="1025" width="51" style="137" customWidth="1"/>
    <col min="1026" max="1028" width="15" style="137" customWidth="1"/>
    <col min="1029" max="1280" width="9.140625" style="137"/>
    <col min="1281" max="1281" width="51" style="137" customWidth="1"/>
    <col min="1282" max="1284" width="15" style="137" customWidth="1"/>
    <col min="1285" max="1536" width="9.140625" style="137"/>
    <col min="1537" max="1537" width="51" style="137" customWidth="1"/>
    <col min="1538" max="1540" width="15" style="137" customWidth="1"/>
    <col min="1541" max="1792" width="9.140625" style="137"/>
    <col min="1793" max="1793" width="51" style="137" customWidth="1"/>
    <col min="1794" max="1796" width="15" style="137" customWidth="1"/>
    <col min="1797" max="2048" width="9.140625" style="137"/>
    <col min="2049" max="2049" width="51" style="137" customWidth="1"/>
    <col min="2050" max="2052" width="15" style="137" customWidth="1"/>
    <col min="2053" max="2304" width="9.140625" style="137"/>
    <col min="2305" max="2305" width="51" style="137" customWidth="1"/>
    <col min="2306" max="2308" width="15" style="137" customWidth="1"/>
    <col min="2309" max="2560" width="9.140625" style="137"/>
    <col min="2561" max="2561" width="51" style="137" customWidth="1"/>
    <col min="2562" max="2564" width="15" style="137" customWidth="1"/>
    <col min="2565" max="2816" width="9.140625" style="137"/>
    <col min="2817" max="2817" width="51" style="137" customWidth="1"/>
    <col min="2818" max="2820" width="15" style="137" customWidth="1"/>
    <col min="2821" max="3072" width="9.140625" style="137"/>
    <col min="3073" max="3073" width="51" style="137" customWidth="1"/>
    <col min="3074" max="3076" width="15" style="137" customWidth="1"/>
    <col min="3077" max="3328" width="9.140625" style="137"/>
    <col min="3329" max="3329" width="51" style="137" customWidth="1"/>
    <col min="3330" max="3332" width="15" style="137" customWidth="1"/>
    <col min="3333" max="3584" width="9.140625" style="137"/>
    <col min="3585" max="3585" width="51" style="137" customWidth="1"/>
    <col min="3586" max="3588" width="15" style="137" customWidth="1"/>
    <col min="3589" max="3840" width="9.140625" style="137"/>
    <col min="3841" max="3841" width="51" style="137" customWidth="1"/>
    <col min="3842" max="3844" width="15" style="137" customWidth="1"/>
    <col min="3845" max="4096" width="9.140625" style="137"/>
    <col min="4097" max="4097" width="51" style="137" customWidth="1"/>
    <col min="4098" max="4100" width="15" style="137" customWidth="1"/>
    <col min="4101" max="4352" width="9.140625" style="137"/>
    <col min="4353" max="4353" width="51" style="137" customWidth="1"/>
    <col min="4354" max="4356" width="15" style="137" customWidth="1"/>
    <col min="4357" max="4608" width="9.140625" style="137"/>
    <col min="4609" max="4609" width="51" style="137" customWidth="1"/>
    <col min="4610" max="4612" width="15" style="137" customWidth="1"/>
    <col min="4613" max="4864" width="9.140625" style="137"/>
    <col min="4865" max="4865" width="51" style="137" customWidth="1"/>
    <col min="4866" max="4868" width="15" style="137" customWidth="1"/>
    <col min="4869" max="5120" width="9.140625" style="137"/>
    <col min="5121" max="5121" width="51" style="137" customWidth="1"/>
    <col min="5122" max="5124" width="15" style="137" customWidth="1"/>
    <col min="5125" max="5376" width="9.140625" style="137"/>
    <col min="5377" max="5377" width="51" style="137" customWidth="1"/>
    <col min="5378" max="5380" width="15" style="137" customWidth="1"/>
    <col min="5381" max="5632" width="9.140625" style="137"/>
    <col min="5633" max="5633" width="51" style="137" customWidth="1"/>
    <col min="5634" max="5636" width="15" style="137" customWidth="1"/>
    <col min="5637" max="5888" width="9.140625" style="137"/>
    <col min="5889" max="5889" width="51" style="137" customWidth="1"/>
    <col min="5890" max="5892" width="15" style="137" customWidth="1"/>
    <col min="5893" max="6144" width="9.140625" style="137"/>
    <col min="6145" max="6145" width="51" style="137" customWidth="1"/>
    <col min="6146" max="6148" width="15" style="137" customWidth="1"/>
    <col min="6149" max="6400" width="9.140625" style="137"/>
    <col min="6401" max="6401" width="51" style="137" customWidth="1"/>
    <col min="6402" max="6404" width="15" style="137" customWidth="1"/>
    <col min="6405" max="6656" width="9.140625" style="137"/>
    <col min="6657" max="6657" width="51" style="137" customWidth="1"/>
    <col min="6658" max="6660" width="15" style="137" customWidth="1"/>
    <col min="6661" max="6912" width="9.140625" style="137"/>
    <col min="6913" max="6913" width="51" style="137" customWidth="1"/>
    <col min="6914" max="6916" width="15" style="137" customWidth="1"/>
    <col min="6917" max="7168" width="9.140625" style="137"/>
    <col min="7169" max="7169" width="51" style="137" customWidth="1"/>
    <col min="7170" max="7172" width="15" style="137" customWidth="1"/>
    <col min="7173" max="7424" width="9.140625" style="137"/>
    <col min="7425" max="7425" width="51" style="137" customWidth="1"/>
    <col min="7426" max="7428" width="15" style="137" customWidth="1"/>
    <col min="7429" max="7680" width="9.140625" style="137"/>
    <col min="7681" max="7681" width="51" style="137" customWidth="1"/>
    <col min="7682" max="7684" width="15" style="137" customWidth="1"/>
    <col min="7685" max="7936" width="9.140625" style="137"/>
    <col min="7937" max="7937" width="51" style="137" customWidth="1"/>
    <col min="7938" max="7940" width="15" style="137" customWidth="1"/>
    <col min="7941" max="8192" width="9.140625" style="137"/>
    <col min="8193" max="8193" width="51" style="137" customWidth="1"/>
    <col min="8194" max="8196" width="15" style="137" customWidth="1"/>
    <col min="8197" max="8448" width="9.140625" style="137"/>
    <col min="8449" max="8449" width="51" style="137" customWidth="1"/>
    <col min="8450" max="8452" width="15" style="137" customWidth="1"/>
    <col min="8453" max="8704" width="9.140625" style="137"/>
    <col min="8705" max="8705" width="51" style="137" customWidth="1"/>
    <col min="8706" max="8708" width="15" style="137" customWidth="1"/>
    <col min="8709" max="8960" width="9.140625" style="137"/>
    <col min="8961" max="8961" width="51" style="137" customWidth="1"/>
    <col min="8962" max="8964" width="15" style="137" customWidth="1"/>
    <col min="8965" max="9216" width="9.140625" style="137"/>
    <col min="9217" max="9217" width="51" style="137" customWidth="1"/>
    <col min="9218" max="9220" width="15" style="137" customWidth="1"/>
    <col min="9221" max="9472" width="9.140625" style="137"/>
    <col min="9473" max="9473" width="51" style="137" customWidth="1"/>
    <col min="9474" max="9476" width="15" style="137" customWidth="1"/>
    <col min="9477" max="9728" width="9.140625" style="137"/>
    <col min="9729" max="9729" width="51" style="137" customWidth="1"/>
    <col min="9730" max="9732" width="15" style="137" customWidth="1"/>
    <col min="9733" max="9984" width="9.140625" style="137"/>
    <col min="9985" max="9985" width="51" style="137" customWidth="1"/>
    <col min="9986" max="9988" width="15" style="137" customWidth="1"/>
    <col min="9989" max="10240" width="9.140625" style="137"/>
    <col min="10241" max="10241" width="51" style="137" customWidth="1"/>
    <col min="10242" max="10244" width="15" style="137" customWidth="1"/>
    <col min="10245" max="10496" width="9.140625" style="137"/>
    <col min="10497" max="10497" width="51" style="137" customWidth="1"/>
    <col min="10498" max="10500" width="15" style="137" customWidth="1"/>
    <col min="10501" max="10752" width="9.140625" style="137"/>
    <col min="10753" max="10753" width="51" style="137" customWidth="1"/>
    <col min="10754" max="10756" width="15" style="137" customWidth="1"/>
    <col min="10757" max="11008" width="9.140625" style="137"/>
    <col min="11009" max="11009" width="51" style="137" customWidth="1"/>
    <col min="11010" max="11012" width="15" style="137" customWidth="1"/>
    <col min="11013" max="11264" width="9.140625" style="137"/>
    <col min="11265" max="11265" width="51" style="137" customWidth="1"/>
    <col min="11266" max="11268" width="15" style="137" customWidth="1"/>
    <col min="11269" max="11520" width="9.140625" style="137"/>
    <col min="11521" max="11521" width="51" style="137" customWidth="1"/>
    <col min="11522" max="11524" width="15" style="137" customWidth="1"/>
    <col min="11525" max="11776" width="9.140625" style="137"/>
    <col min="11777" max="11777" width="51" style="137" customWidth="1"/>
    <col min="11778" max="11780" width="15" style="137" customWidth="1"/>
    <col min="11781" max="12032" width="9.140625" style="137"/>
    <col min="12033" max="12033" width="51" style="137" customWidth="1"/>
    <col min="12034" max="12036" width="15" style="137" customWidth="1"/>
    <col min="12037" max="12288" width="9.140625" style="137"/>
    <col min="12289" max="12289" width="51" style="137" customWidth="1"/>
    <col min="12290" max="12292" width="15" style="137" customWidth="1"/>
    <col min="12293" max="12544" width="9.140625" style="137"/>
    <col min="12545" max="12545" width="51" style="137" customWidth="1"/>
    <col min="12546" max="12548" width="15" style="137" customWidth="1"/>
    <col min="12549" max="12800" width="9.140625" style="137"/>
    <col min="12801" max="12801" width="51" style="137" customWidth="1"/>
    <col min="12802" max="12804" width="15" style="137" customWidth="1"/>
    <col min="12805" max="13056" width="9.140625" style="137"/>
    <col min="13057" max="13057" width="51" style="137" customWidth="1"/>
    <col min="13058" max="13060" width="15" style="137" customWidth="1"/>
    <col min="13061" max="13312" width="9.140625" style="137"/>
    <col min="13313" max="13313" width="51" style="137" customWidth="1"/>
    <col min="13314" max="13316" width="15" style="137" customWidth="1"/>
    <col min="13317" max="13568" width="9.140625" style="137"/>
    <col min="13569" max="13569" width="51" style="137" customWidth="1"/>
    <col min="13570" max="13572" width="15" style="137" customWidth="1"/>
    <col min="13573" max="13824" width="9.140625" style="137"/>
    <col min="13825" max="13825" width="51" style="137" customWidth="1"/>
    <col min="13826" max="13828" width="15" style="137" customWidth="1"/>
    <col min="13829" max="14080" width="9.140625" style="137"/>
    <col min="14081" max="14081" width="51" style="137" customWidth="1"/>
    <col min="14082" max="14084" width="15" style="137" customWidth="1"/>
    <col min="14085" max="14336" width="9.140625" style="137"/>
    <col min="14337" max="14337" width="51" style="137" customWidth="1"/>
    <col min="14338" max="14340" width="15" style="137" customWidth="1"/>
    <col min="14341" max="14592" width="9.140625" style="137"/>
    <col min="14593" max="14593" width="51" style="137" customWidth="1"/>
    <col min="14594" max="14596" width="15" style="137" customWidth="1"/>
    <col min="14597" max="14848" width="9.140625" style="137"/>
    <col min="14849" max="14849" width="51" style="137" customWidth="1"/>
    <col min="14850" max="14852" width="15" style="137" customWidth="1"/>
    <col min="14853" max="15104" width="9.140625" style="137"/>
    <col min="15105" max="15105" width="51" style="137" customWidth="1"/>
    <col min="15106" max="15108" width="15" style="137" customWidth="1"/>
    <col min="15109" max="15360" width="9.140625" style="137"/>
    <col min="15361" max="15361" width="51" style="137" customWidth="1"/>
    <col min="15362" max="15364" width="15" style="137" customWidth="1"/>
    <col min="15365" max="15616" width="9.140625" style="137"/>
    <col min="15617" max="15617" width="51" style="137" customWidth="1"/>
    <col min="15618" max="15620" width="15" style="137" customWidth="1"/>
    <col min="15621" max="15872" width="9.140625" style="137"/>
    <col min="15873" max="15873" width="51" style="137" customWidth="1"/>
    <col min="15874" max="15876" width="15" style="137" customWidth="1"/>
    <col min="15877" max="16128" width="9.140625" style="137"/>
    <col min="16129" max="16129" width="51" style="137" customWidth="1"/>
    <col min="16130" max="16132" width="15" style="137" customWidth="1"/>
    <col min="16133" max="16384" width="9.140625" style="137"/>
  </cols>
  <sheetData>
    <row r="1" spans="1:7" x14ac:dyDescent="0.2">
      <c r="A1" s="242" t="s">
        <v>130</v>
      </c>
      <c r="B1" s="241"/>
      <c r="C1" s="241"/>
      <c r="D1" s="241"/>
      <c r="E1" s="241"/>
    </row>
    <row r="2" spans="1:7" x14ac:dyDescent="0.2">
      <c r="A2" s="242" t="s">
        <v>502</v>
      </c>
      <c r="B2" s="241"/>
      <c r="C2" s="241"/>
      <c r="D2" s="241"/>
      <c r="E2" s="241"/>
    </row>
    <row r="3" spans="1:7" x14ac:dyDescent="0.2">
      <c r="A3" s="242" t="s">
        <v>538</v>
      </c>
      <c r="B3" s="241"/>
      <c r="C3" s="241"/>
      <c r="D3" s="241"/>
      <c r="E3" s="241"/>
    </row>
    <row r="4" spans="1:7" x14ac:dyDescent="0.2">
      <c r="A4" s="137" t="s">
        <v>0</v>
      </c>
    </row>
    <row r="5" spans="1:7" ht="12.75" customHeight="1" x14ac:dyDescent="0.2">
      <c r="A5" s="138"/>
      <c r="B5" s="238" t="s">
        <v>131</v>
      </c>
      <c r="C5" s="239"/>
      <c r="D5" s="239"/>
      <c r="E5" s="239"/>
    </row>
    <row r="6" spans="1:7" ht="25.5" customHeight="1" x14ac:dyDescent="0.2">
      <c r="A6" s="138"/>
      <c r="B6" s="139" t="s">
        <v>409</v>
      </c>
      <c r="C6" s="139" t="s">
        <v>116</v>
      </c>
      <c r="D6" s="139" t="s">
        <v>412</v>
      </c>
      <c r="E6" s="139" t="s">
        <v>410</v>
      </c>
      <c r="F6" s="142" t="s">
        <v>413</v>
      </c>
      <c r="G6" s="142" t="s">
        <v>414</v>
      </c>
    </row>
    <row r="7" spans="1:7" ht="12.75" customHeight="1" x14ac:dyDescent="0.2">
      <c r="A7" s="133" t="s">
        <v>132</v>
      </c>
      <c r="B7" s="134"/>
      <c r="C7" s="134"/>
      <c r="D7" s="134"/>
      <c r="E7" s="134"/>
      <c r="F7" s="140"/>
      <c r="G7" s="140"/>
    </row>
    <row r="8" spans="1:7" ht="12.75" customHeight="1" x14ac:dyDescent="0.2">
      <c r="A8" s="133" t="s">
        <v>274</v>
      </c>
      <c r="B8" s="134"/>
      <c r="C8" s="134"/>
      <c r="D8" s="135">
        <v>0</v>
      </c>
      <c r="E8" s="136" t="s">
        <v>541</v>
      </c>
      <c r="F8" s="140"/>
      <c r="G8" s="140"/>
    </row>
    <row r="9" spans="1:7" ht="12.75" customHeight="1" x14ac:dyDescent="0.2">
      <c r="A9" s="133" t="s">
        <v>275</v>
      </c>
      <c r="B9" s="134"/>
      <c r="C9" s="134"/>
      <c r="D9" s="135">
        <v>0</v>
      </c>
      <c r="E9" s="136" t="s">
        <v>541</v>
      </c>
      <c r="F9" s="140"/>
      <c r="G9" s="140"/>
    </row>
    <row r="10" spans="1:7" ht="12.75" customHeight="1" x14ac:dyDescent="0.2">
      <c r="A10" s="133" t="s">
        <v>276</v>
      </c>
      <c r="B10" s="149">
        <f>2695703.39</f>
        <v>2695703.39</v>
      </c>
      <c r="C10" s="149">
        <f>2615224</f>
        <v>2615224</v>
      </c>
      <c r="D10" s="149">
        <f t="shared" ref="D10:D30" si="0">(B10)-(C10)</f>
        <v>80479.39000000013</v>
      </c>
      <c r="E10" s="203">
        <f t="shared" ref="E10:E30" si="1">IF(C10=0,"",(B10)/(C10))</f>
        <v>1.0307734213206976</v>
      </c>
      <c r="F10" s="140"/>
      <c r="G10" s="140"/>
    </row>
    <row r="11" spans="1:7" ht="12.75" customHeight="1" x14ac:dyDescent="0.2">
      <c r="A11" s="133" t="s">
        <v>277</v>
      </c>
      <c r="B11" s="149">
        <f>447390.83</f>
        <v>447390.83</v>
      </c>
      <c r="C11" s="149">
        <f>392520</f>
        <v>392520</v>
      </c>
      <c r="D11" s="149">
        <f t="shared" si="0"/>
        <v>54870.830000000016</v>
      </c>
      <c r="E11" s="203">
        <f t="shared" si="1"/>
        <v>1.1397911698766943</v>
      </c>
      <c r="F11" s="140"/>
      <c r="G11" s="140"/>
    </row>
    <row r="12" spans="1:7" ht="12.75" customHeight="1" x14ac:dyDescent="0.2">
      <c r="A12" s="133" t="s">
        <v>278</v>
      </c>
      <c r="B12" s="150"/>
      <c r="C12" s="149">
        <f>14080</f>
        <v>14080</v>
      </c>
      <c r="D12" s="149">
        <f t="shared" si="0"/>
        <v>-14080</v>
      </c>
      <c r="E12" s="203">
        <f t="shared" si="1"/>
        <v>0</v>
      </c>
      <c r="F12" s="140"/>
      <c r="G12" s="140"/>
    </row>
    <row r="13" spans="1:7" ht="12.75" customHeight="1" x14ac:dyDescent="0.2">
      <c r="A13" s="133" t="s">
        <v>279</v>
      </c>
      <c r="B13" s="150"/>
      <c r="C13" s="149">
        <f>3620</f>
        <v>3620</v>
      </c>
      <c r="D13" s="149">
        <f t="shared" si="0"/>
        <v>-3620</v>
      </c>
      <c r="E13" s="203">
        <f t="shared" si="1"/>
        <v>0</v>
      </c>
      <c r="F13" s="140"/>
      <c r="G13" s="140"/>
    </row>
    <row r="14" spans="1:7" ht="12.75" customHeight="1" x14ac:dyDescent="0.2">
      <c r="A14" s="133" t="s">
        <v>280</v>
      </c>
      <c r="B14" s="150"/>
      <c r="C14" s="149">
        <f>1510</f>
        <v>1510</v>
      </c>
      <c r="D14" s="149">
        <f t="shared" si="0"/>
        <v>-1510</v>
      </c>
      <c r="E14" s="203">
        <f t="shared" si="1"/>
        <v>0</v>
      </c>
      <c r="F14" s="140"/>
      <c r="G14" s="140"/>
    </row>
    <row r="15" spans="1:7" ht="12.75" customHeight="1" x14ac:dyDescent="0.2">
      <c r="A15" s="133" t="s">
        <v>281</v>
      </c>
      <c r="B15" s="151">
        <f>(((((B9)+(B10))+(B11))+(B12))+(B13))+(B14)</f>
        <v>3143094.22</v>
      </c>
      <c r="C15" s="151">
        <f>(((((C9)+(C10))+(C11))+(C12))+(C13))+(C14)</f>
        <v>3026954</v>
      </c>
      <c r="D15" s="151">
        <f t="shared" si="0"/>
        <v>116140.2200000002</v>
      </c>
      <c r="E15" s="204">
        <f t="shared" si="1"/>
        <v>1.0383686768943301</v>
      </c>
      <c r="F15" s="140"/>
      <c r="G15" s="140"/>
    </row>
    <row r="16" spans="1:7" ht="12.75" customHeight="1" x14ac:dyDescent="0.2">
      <c r="A16" s="133" t="s">
        <v>282</v>
      </c>
      <c r="B16" s="150"/>
      <c r="C16" s="150"/>
      <c r="D16" s="149">
        <f t="shared" si="0"/>
        <v>0</v>
      </c>
      <c r="E16" s="203" t="str">
        <f t="shared" si="1"/>
        <v/>
      </c>
      <c r="F16" s="140"/>
      <c r="G16" s="140"/>
    </row>
    <row r="17" spans="1:7" ht="12.75" customHeight="1" x14ac:dyDescent="0.2">
      <c r="A17" s="133" t="s">
        <v>283</v>
      </c>
      <c r="B17" s="149">
        <f>74453.4</f>
        <v>74453.399999999994</v>
      </c>
      <c r="C17" s="149">
        <f>61800</f>
        <v>61800</v>
      </c>
      <c r="D17" s="149">
        <f t="shared" si="0"/>
        <v>12653.399999999994</v>
      </c>
      <c r="E17" s="203">
        <f t="shared" si="1"/>
        <v>1.2047475728155339</v>
      </c>
      <c r="F17" s="140"/>
      <c r="G17" s="140"/>
    </row>
    <row r="18" spans="1:7" ht="12.75" customHeight="1" x14ac:dyDescent="0.2">
      <c r="A18" s="133" t="s">
        <v>284</v>
      </c>
      <c r="B18" s="149">
        <f>5652</f>
        <v>5652</v>
      </c>
      <c r="C18" s="149">
        <f>5820</f>
        <v>5820</v>
      </c>
      <c r="D18" s="149">
        <f t="shared" si="0"/>
        <v>-168</v>
      </c>
      <c r="E18" s="203">
        <f t="shared" si="1"/>
        <v>0.97113402061855669</v>
      </c>
      <c r="F18" s="140"/>
      <c r="G18" s="140"/>
    </row>
    <row r="19" spans="1:7" ht="12.75" customHeight="1" x14ac:dyDescent="0.2">
      <c r="A19" s="133" t="s">
        <v>285</v>
      </c>
      <c r="B19" s="150"/>
      <c r="C19" s="149">
        <f>55665</f>
        <v>55665</v>
      </c>
      <c r="D19" s="149">
        <f t="shared" si="0"/>
        <v>-55665</v>
      </c>
      <c r="E19" s="203">
        <f t="shared" si="1"/>
        <v>0</v>
      </c>
      <c r="F19" s="140"/>
      <c r="G19" s="140"/>
    </row>
    <row r="20" spans="1:7" ht="12.75" customHeight="1" x14ac:dyDescent="0.2">
      <c r="A20" s="133" t="s">
        <v>286</v>
      </c>
      <c r="B20" s="149">
        <f>11804.02</f>
        <v>11804.02</v>
      </c>
      <c r="C20" s="149">
        <f>19800</f>
        <v>19800</v>
      </c>
      <c r="D20" s="149">
        <f t="shared" si="0"/>
        <v>-7995.98</v>
      </c>
      <c r="E20" s="203">
        <f t="shared" si="1"/>
        <v>0.59616262626262628</v>
      </c>
      <c r="F20" s="140"/>
      <c r="G20" s="140"/>
    </row>
    <row r="21" spans="1:7" ht="12.75" customHeight="1" x14ac:dyDescent="0.2">
      <c r="A21" s="133" t="s">
        <v>287</v>
      </c>
      <c r="B21" s="151">
        <f>((((B16)+(B17))+(B18))+(B19))+(B20)</f>
        <v>91909.42</v>
      </c>
      <c r="C21" s="151">
        <f>((((C16)+(C17))+(C18))+(C19))+(C20)</f>
        <v>143085</v>
      </c>
      <c r="D21" s="151">
        <f t="shared" si="0"/>
        <v>-51175.58</v>
      </c>
      <c r="E21" s="204">
        <f t="shared" si="1"/>
        <v>0.64234140545829399</v>
      </c>
      <c r="F21" s="140"/>
      <c r="G21" s="140"/>
    </row>
    <row r="22" spans="1:7" ht="12.75" customHeight="1" x14ac:dyDescent="0.2">
      <c r="A22" s="133" t="s">
        <v>449</v>
      </c>
      <c r="B22" s="150"/>
      <c r="C22" s="150"/>
      <c r="D22" s="149">
        <f t="shared" si="0"/>
        <v>0</v>
      </c>
      <c r="E22" s="203" t="str">
        <f t="shared" si="1"/>
        <v/>
      </c>
      <c r="F22" s="140"/>
      <c r="G22" s="140"/>
    </row>
    <row r="23" spans="1:7" ht="12.75" customHeight="1" x14ac:dyDescent="0.2">
      <c r="A23" s="133" t="s">
        <v>288</v>
      </c>
      <c r="B23" s="149">
        <f>180</f>
        <v>180</v>
      </c>
      <c r="C23" s="150"/>
      <c r="D23" s="149">
        <f t="shared" si="0"/>
        <v>180</v>
      </c>
      <c r="E23" s="203" t="str">
        <f t="shared" si="1"/>
        <v/>
      </c>
      <c r="F23" s="140"/>
      <c r="G23" s="140"/>
    </row>
    <row r="24" spans="1:7" ht="12.75" customHeight="1" x14ac:dyDescent="0.2">
      <c r="A24" s="133" t="s">
        <v>450</v>
      </c>
      <c r="B24" s="151">
        <f>(B22)+(B23)</f>
        <v>180</v>
      </c>
      <c r="C24" s="151">
        <f>(C22)+(C23)</f>
        <v>0</v>
      </c>
      <c r="D24" s="151">
        <f t="shared" si="0"/>
        <v>180</v>
      </c>
      <c r="E24" s="204" t="str">
        <f t="shared" si="1"/>
        <v/>
      </c>
      <c r="F24" s="140"/>
      <c r="G24" s="140"/>
    </row>
    <row r="25" spans="1:7" ht="12.75" customHeight="1" x14ac:dyDescent="0.2">
      <c r="A25" s="133" t="s">
        <v>451</v>
      </c>
      <c r="B25" s="150"/>
      <c r="C25" s="150"/>
      <c r="D25" s="149">
        <f t="shared" si="0"/>
        <v>0</v>
      </c>
      <c r="E25" s="203" t="str">
        <f t="shared" si="1"/>
        <v/>
      </c>
      <c r="F25" s="140"/>
      <c r="G25" s="140"/>
    </row>
    <row r="26" spans="1:7" ht="12.75" customHeight="1" x14ac:dyDescent="0.2">
      <c r="A26" s="133" t="s">
        <v>452</v>
      </c>
      <c r="B26" s="149">
        <f>2740.94</f>
        <v>2740.94</v>
      </c>
      <c r="C26" s="149">
        <f>2400</f>
        <v>2400</v>
      </c>
      <c r="D26" s="149">
        <f t="shared" si="0"/>
        <v>340.94000000000005</v>
      </c>
      <c r="E26" s="203">
        <f t="shared" si="1"/>
        <v>1.1420583333333334</v>
      </c>
      <c r="F26" s="140"/>
      <c r="G26" s="140"/>
    </row>
    <row r="27" spans="1:7" ht="12.75" customHeight="1" x14ac:dyDescent="0.2">
      <c r="A27" s="133" t="s">
        <v>453</v>
      </c>
      <c r="B27" s="151">
        <f>(B25)+(B26)</f>
        <v>2740.94</v>
      </c>
      <c r="C27" s="151">
        <f>(C25)+(C26)</f>
        <v>2400</v>
      </c>
      <c r="D27" s="151">
        <f t="shared" si="0"/>
        <v>340.94000000000005</v>
      </c>
      <c r="E27" s="204">
        <f t="shared" si="1"/>
        <v>1.1420583333333334</v>
      </c>
      <c r="F27" s="140"/>
      <c r="G27" s="140"/>
    </row>
    <row r="28" spans="1:7" ht="12.75" customHeight="1" x14ac:dyDescent="0.2">
      <c r="A28" s="133" t="s">
        <v>289</v>
      </c>
      <c r="B28" s="151">
        <f>((((B8)+(B15))+(B21))+(B24))+(B27)</f>
        <v>3237924.58</v>
      </c>
      <c r="C28" s="151">
        <f>((((C8)+(C15))+(C21))+(C24))+(C27)</f>
        <v>3172439</v>
      </c>
      <c r="D28" s="151">
        <f t="shared" si="0"/>
        <v>65485.580000000075</v>
      </c>
      <c r="E28" s="204">
        <f t="shared" si="1"/>
        <v>1.0206420296812642</v>
      </c>
      <c r="F28" s="140"/>
      <c r="G28" s="140"/>
    </row>
    <row r="29" spans="1:7" ht="12.75" customHeight="1" x14ac:dyDescent="0.2">
      <c r="A29" s="133" t="s">
        <v>133</v>
      </c>
      <c r="B29" s="151">
        <f>B28</f>
        <v>3237924.58</v>
      </c>
      <c r="C29" s="151">
        <f>C28</f>
        <v>3172439</v>
      </c>
      <c r="D29" s="151">
        <f t="shared" si="0"/>
        <v>65485.580000000075</v>
      </c>
      <c r="E29" s="204">
        <f t="shared" si="1"/>
        <v>1.0206420296812642</v>
      </c>
      <c r="F29" s="140"/>
      <c r="G29" s="140"/>
    </row>
    <row r="30" spans="1:7" ht="12.75" customHeight="1" x14ac:dyDescent="0.2">
      <c r="A30" s="133" t="s">
        <v>134</v>
      </c>
      <c r="B30" s="151">
        <f>(B29)-(0)</f>
        <v>3237924.58</v>
      </c>
      <c r="C30" s="151">
        <f>(C29)-(0)</f>
        <v>3172439</v>
      </c>
      <c r="D30" s="151">
        <f t="shared" si="0"/>
        <v>65485.580000000075</v>
      </c>
      <c r="E30" s="204">
        <f t="shared" si="1"/>
        <v>1.0206420296812642</v>
      </c>
      <c r="F30" s="140"/>
      <c r="G30" s="140"/>
    </row>
    <row r="31" spans="1:7" ht="12.75" customHeight="1" x14ac:dyDescent="0.2">
      <c r="A31" s="133" t="s">
        <v>106</v>
      </c>
      <c r="B31" s="150"/>
      <c r="C31" s="150"/>
      <c r="D31" s="150"/>
      <c r="E31" s="150"/>
      <c r="F31" s="140"/>
      <c r="G31" s="140"/>
    </row>
    <row r="32" spans="1:7" ht="12.75" customHeight="1" x14ac:dyDescent="0.2">
      <c r="A32" s="133" t="s">
        <v>290</v>
      </c>
      <c r="B32" s="150"/>
      <c r="C32" s="150"/>
      <c r="D32" s="149">
        <f t="shared" ref="D32:D95" si="2">(B32)-(C32)</f>
        <v>0</v>
      </c>
      <c r="E32" s="203" t="str">
        <f t="shared" ref="E32:E95" si="3">IF(C32=0,"",(B32)/(C32))</f>
        <v/>
      </c>
      <c r="F32" s="140"/>
      <c r="G32" s="140"/>
    </row>
    <row r="33" spans="1:7" ht="12.75" customHeight="1" x14ac:dyDescent="0.2">
      <c r="A33" s="133" t="s">
        <v>291</v>
      </c>
      <c r="B33" s="150"/>
      <c r="C33" s="150"/>
      <c r="D33" s="149">
        <f t="shared" si="2"/>
        <v>0</v>
      </c>
      <c r="E33" s="203" t="str">
        <f t="shared" si="3"/>
        <v/>
      </c>
      <c r="F33" s="141">
        <f>-B33</f>
        <v>0</v>
      </c>
      <c r="G33" s="141">
        <f>-C33</f>
        <v>0</v>
      </c>
    </row>
    <row r="34" spans="1:7" ht="12.75" customHeight="1" x14ac:dyDescent="0.2">
      <c r="A34" s="133" t="s">
        <v>292</v>
      </c>
      <c r="B34" s="149">
        <f>143750.05</f>
        <v>143750.04999999999</v>
      </c>
      <c r="C34" s="149">
        <f>126664</f>
        <v>126664</v>
      </c>
      <c r="D34" s="149">
        <f t="shared" si="2"/>
        <v>17086.049999999988</v>
      </c>
      <c r="E34" s="203">
        <f t="shared" si="3"/>
        <v>1.1348927082675424</v>
      </c>
      <c r="F34" s="141">
        <f t="shared" ref="F34:F94" si="4">-B34</f>
        <v>-143750.04999999999</v>
      </c>
      <c r="G34" s="141">
        <f t="shared" ref="G34:G94" si="5">-C34</f>
        <v>-126664</v>
      </c>
    </row>
    <row r="35" spans="1:7" ht="12.75" customHeight="1" x14ac:dyDescent="0.2">
      <c r="A35" s="133" t="s">
        <v>293</v>
      </c>
      <c r="B35" s="149">
        <f>54400</f>
        <v>54400</v>
      </c>
      <c r="C35" s="149">
        <f>54400</f>
        <v>54400</v>
      </c>
      <c r="D35" s="149">
        <f t="shared" si="2"/>
        <v>0</v>
      </c>
      <c r="E35" s="203">
        <f t="shared" si="3"/>
        <v>1</v>
      </c>
      <c r="F35" s="141">
        <f t="shared" si="4"/>
        <v>-54400</v>
      </c>
      <c r="G35" s="141">
        <f t="shared" si="5"/>
        <v>-54400</v>
      </c>
    </row>
    <row r="36" spans="1:7" ht="12.75" customHeight="1" x14ac:dyDescent="0.2">
      <c r="A36" s="133" t="s">
        <v>294</v>
      </c>
      <c r="B36" s="149">
        <f>53000</f>
        <v>53000</v>
      </c>
      <c r="C36" s="149">
        <f>52800</f>
        <v>52800</v>
      </c>
      <c r="D36" s="149">
        <f t="shared" si="2"/>
        <v>200</v>
      </c>
      <c r="E36" s="203">
        <f t="shared" si="3"/>
        <v>1.0037878787878789</v>
      </c>
      <c r="F36" s="141">
        <f t="shared" si="4"/>
        <v>-53000</v>
      </c>
      <c r="G36" s="141">
        <f t="shared" si="5"/>
        <v>-52800</v>
      </c>
    </row>
    <row r="37" spans="1:7" ht="12.75" customHeight="1" x14ac:dyDescent="0.2">
      <c r="A37" s="133" t="s">
        <v>295</v>
      </c>
      <c r="B37" s="149">
        <f>4422.34</f>
        <v>4422.34</v>
      </c>
      <c r="C37" s="149">
        <f>42160</f>
        <v>42160</v>
      </c>
      <c r="D37" s="149">
        <f t="shared" si="2"/>
        <v>-37737.660000000003</v>
      </c>
      <c r="E37" s="203">
        <f t="shared" si="3"/>
        <v>0.10489421252371917</v>
      </c>
      <c r="F37" s="141">
        <f t="shared" si="4"/>
        <v>-4422.34</v>
      </c>
      <c r="G37" s="141">
        <f t="shared" si="5"/>
        <v>-42160</v>
      </c>
    </row>
    <row r="38" spans="1:7" ht="12.75" customHeight="1" x14ac:dyDescent="0.2">
      <c r="A38" s="133" t="s">
        <v>296</v>
      </c>
      <c r="B38" s="149">
        <f>21043.75</f>
        <v>21043.75</v>
      </c>
      <c r="C38" s="149">
        <f>25904</f>
        <v>25904</v>
      </c>
      <c r="D38" s="149">
        <f t="shared" si="2"/>
        <v>-4860.25</v>
      </c>
      <c r="E38" s="203">
        <f t="shared" si="3"/>
        <v>0.81237453675108096</v>
      </c>
      <c r="F38" s="141">
        <f t="shared" si="4"/>
        <v>-21043.75</v>
      </c>
      <c r="G38" s="141">
        <f t="shared" si="5"/>
        <v>-25904</v>
      </c>
    </row>
    <row r="39" spans="1:7" ht="12.75" customHeight="1" x14ac:dyDescent="0.2">
      <c r="A39" s="133" t="s">
        <v>297</v>
      </c>
      <c r="B39" s="149">
        <f>43813.28</f>
        <v>43813.279999999999</v>
      </c>
      <c r="C39" s="149">
        <f>43816</f>
        <v>43816</v>
      </c>
      <c r="D39" s="149">
        <f t="shared" si="2"/>
        <v>-2.7200000000011642</v>
      </c>
      <c r="E39" s="203">
        <f t="shared" si="3"/>
        <v>0.99993792222019351</v>
      </c>
      <c r="F39" s="141">
        <f t="shared" si="4"/>
        <v>-43813.279999999999</v>
      </c>
      <c r="G39" s="141">
        <f t="shared" si="5"/>
        <v>-43816</v>
      </c>
    </row>
    <row r="40" spans="1:7" ht="12.75" customHeight="1" x14ac:dyDescent="0.2">
      <c r="A40" s="133" t="s">
        <v>298</v>
      </c>
      <c r="B40" s="149">
        <f>217678.47</f>
        <v>217678.47</v>
      </c>
      <c r="C40" s="149">
        <f>217736</f>
        <v>217736</v>
      </c>
      <c r="D40" s="149">
        <f t="shared" si="2"/>
        <v>-57.529999999998836</v>
      </c>
      <c r="E40" s="203">
        <f t="shared" si="3"/>
        <v>0.99973578094573246</v>
      </c>
      <c r="F40" s="141">
        <f t="shared" si="4"/>
        <v>-217678.47</v>
      </c>
      <c r="G40" s="141">
        <f t="shared" si="5"/>
        <v>-217736</v>
      </c>
    </row>
    <row r="41" spans="1:7" ht="12.75" customHeight="1" x14ac:dyDescent="0.2">
      <c r="A41" s="133" t="s">
        <v>299</v>
      </c>
      <c r="B41" s="151">
        <f>(((((((B33)+(B34))+(B35))+(B36))+(B37))+(B38))+(B39))+(B40)</f>
        <v>538107.89</v>
      </c>
      <c r="C41" s="151">
        <f>(((((((C33)+(C34))+(C35))+(C36))+(C37))+(C38))+(C39))+(C40)</f>
        <v>563480</v>
      </c>
      <c r="D41" s="151">
        <f t="shared" si="2"/>
        <v>-25372.109999999986</v>
      </c>
      <c r="E41" s="204">
        <f t="shared" si="3"/>
        <v>0.95497247462199197</v>
      </c>
      <c r="F41" s="141">
        <f t="shared" si="4"/>
        <v>-538107.89</v>
      </c>
      <c r="G41" s="141">
        <f t="shared" si="5"/>
        <v>-563480</v>
      </c>
    </row>
    <row r="42" spans="1:7" ht="12.75" customHeight="1" x14ac:dyDescent="0.2">
      <c r="A42" s="133" t="s">
        <v>300</v>
      </c>
      <c r="B42" s="150"/>
      <c r="C42" s="150"/>
      <c r="D42" s="149">
        <f t="shared" si="2"/>
        <v>0</v>
      </c>
      <c r="E42" s="203" t="str">
        <f t="shared" si="3"/>
        <v/>
      </c>
      <c r="F42" s="141">
        <f t="shared" si="4"/>
        <v>0</v>
      </c>
      <c r="G42" s="141">
        <f t="shared" si="5"/>
        <v>0</v>
      </c>
    </row>
    <row r="43" spans="1:7" ht="12.75" customHeight="1" x14ac:dyDescent="0.2">
      <c r="A43" s="133" t="s">
        <v>301</v>
      </c>
      <c r="B43" s="149">
        <f>0</f>
        <v>0</v>
      </c>
      <c r="C43" s="149">
        <f>194698</f>
        <v>194698</v>
      </c>
      <c r="D43" s="149">
        <f t="shared" si="2"/>
        <v>-194698</v>
      </c>
      <c r="E43" s="203">
        <f t="shared" si="3"/>
        <v>0</v>
      </c>
      <c r="F43" s="141">
        <f t="shared" si="4"/>
        <v>0</v>
      </c>
      <c r="G43" s="141">
        <f t="shared" si="5"/>
        <v>-194698</v>
      </c>
    </row>
    <row r="44" spans="1:7" ht="12.75" customHeight="1" x14ac:dyDescent="0.2">
      <c r="A44" s="133" t="s">
        <v>302</v>
      </c>
      <c r="B44" s="149">
        <f>283297.7</f>
        <v>283297.7</v>
      </c>
      <c r="C44" s="149">
        <f>223027</f>
        <v>223027</v>
      </c>
      <c r="D44" s="149">
        <f t="shared" si="2"/>
        <v>60270.700000000012</v>
      </c>
      <c r="E44" s="203">
        <f t="shared" si="3"/>
        <v>1.2702394777313959</v>
      </c>
      <c r="F44" s="141">
        <f t="shared" si="4"/>
        <v>-283297.7</v>
      </c>
      <c r="G44" s="141">
        <f t="shared" si="5"/>
        <v>-223027</v>
      </c>
    </row>
    <row r="45" spans="1:7" ht="12.75" customHeight="1" x14ac:dyDescent="0.2">
      <c r="A45" s="133" t="s">
        <v>303</v>
      </c>
      <c r="B45" s="149">
        <f>233541.39</f>
        <v>233541.39</v>
      </c>
      <c r="C45" s="149">
        <f>154266</f>
        <v>154266</v>
      </c>
      <c r="D45" s="149">
        <f t="shared" si="2"/>
        <v>79275.390000000014</v>
      </c>
      <c r="E45" s="203">
        <f t="shared" si="3"/>
        <v>1.5138876356423321</v>
      </c>
      <c r="F45" s="141">
        <f t="shared" si="4"/>
        <v>-233541.39</v>
      </c>
      <c r="G45" s="141">
        <f t="shared" si="5"/>
        <v>-154266</v>
      </c>
    </row>
    <row r="46" spans="1:7" ht="12.75" customHeight="1" x14ac:dyDescent="0.2">
      <c r="A46" s="133" t="s">
        <v>304</v>
      </c>
      <c r="B46" s="149">
        <f>86238.88</f>
        <v>86238.88</v>
      </c>
      <c r="C46" s="149">
        <f>86240</f>
        <v>86240</v>
      </c>
      <c r="D46" s="149">
        <f t="shared" si="2"/>
        <v>-1.1199999999953434</v>
      </c>
      <c r="E46" s="203">
        <f t="shared" si="3"/>
        <v>0.99998701298701309</v>
      </c>
      <c r="F46" s="141">
        <f t="shared" si="4"/>
        <v>-86238.88</v>
      </c>
      <c r="G46" s="141">
        <f t="shared" si="5"/>
        <v>-86240</v>
      </c>
    </row>
    <row r="47" spans="1:7" ht="12.75" customHeight="1" x14ac:dyDescent="0.2">
      <c r="A47" s="133" t="s">
        <v>305</v>
      </c>
      <c r="B47" s="149">
        <f>152650.96</f>
        <v>152650.96</v>
      </c>
      <c r="C47" s="149">
        <f>33747</f>
        <v>33747</v>
      </c>
      <c r="D47" s="149">
        <f t="shared" si="2"/>
        <v>118903.95999999999</v>
      </c>
      <c r="E47" s="203">
        <f t="shared" si="3"/>
        <v>4.5233934868284589</v>
      </c>
      <c r="F47" s="141">
        <f t="shared" si="4"/>
        <v>-152650.96</v>
      </c>
      <c r="G47" s="141">
        <f t="shared" si="5"/>
        <v>-33747</v>
      </c>
    </row>
    <row r="48" spans="1:7" ht="12.75" customHeight="1" x14ac:dyDescent="0.2">
      <c r="A48" s="133" t="s">
        <v>306</v>
      </c>
      <c r="B48" s="149">
        <f>115625.69</f>
        <v>115625.69</v>
      </c>
      <c r="C48" s="149">
        <f>122927</f>
        <v>122927</v>
      </c>
      <c r="D48" s="149">
        <f t="shared" si="2"/>
        <v>-7301.3099999999977</v>
      </c>
      <c r="E48" s="203">
        <f t="shared" si="3"/>
        <v>0.94060450511279059</v>
      </c>
      <c r="F48" s="141">
        <f t="shared" si="4"/>
        <v>-115625.69</v>
      </c>
      <c r="G48" s="141">
        <f t="shared" si="5"/>
        <v>-122927</v>
      </c>
    </row>
    <row r="49" spans="1:7" ht="12.75" customHeight="1" x14ac:dyDescent="0.2">
      <c r="A49" s="133" t="s">
        <v>307</v>
      </c>
      <c r="B49" s="149">
        <f>57626.72</f>
        <v>57626.720000000001</v>
      </c>
      <c r="C49" s="149">
        <f>94171</f>
        <v>94171</v>
      </c>
      <c r="D49" s="149">
        <f t="shared" si="2"/>
        <v>-36544.28</v>
      </c>
      <c r="E49" s="203">
        <f t="shared" si="3"/>
        <v>0.61193700820847186</v>
      </c>
      <c r="F49" s="141">
        <f t="shared" si="4"/>
        <v>-57626.720000000001</v>
      </c>
      <c r="G49" s="141">
        <f t="shared" si="5"/>
        <v>-94171</v>
      </c>
    </row>
    <row r="50" spans="1:7" ht="12.75" customHeight="1" x14ac:dyDescent="0.2">
      <c r="A50" s="133" t="s">
        <v>308</v>
      </c>
      <c r="B50" s="149">
        <f>42203.56</f>
        <v>42203.56</v>
      </c>
      <c r="C50" s="149">
        <f>43750</f>
        <v>43750</v>
      </c>
      <c r="D50" s="149">
        <f t="shared" si="2"/>
        <v>-1546.4400000000023</v>
      </c>
      <c r="E50" s="203">
        <f t="shared" si="3"/>
        <v>0.96465279999999998</v>
      </c>
      <c r="F50" s="141">
        <f t="shared" si="4"/>
        <v>-42203.56</v>
      </c>
      <c r="G50" s="141">
        <f t="shared" si="5"/>
        <v>-43750</v>
      </c>
    </row>
    <row r="51" spans="1:7" ht="12.75" customHeight="1" x14ac:dyDescent="0.2">
      <c r="A51" s="133" t="s">
        <v>309</v>
      </c>
      <c r="B51" s="149">
        <f>40499.06</f>
        <v>40499.06</v>
      </c>
      <c r="C51" s="149">
        <f>40502</f>
        <v>40502</v>
      </c>
      <c r="D51" s="149">
        <f t="shared" si="2"/>
        <v>-2.9400000000023283</v>
      </c>
      <c r="E51" s="203">
        <f t="shared" si="3"/>
        <v>0.99992741099204974</v>
      </c>
      <c r="F51" s="141">
        <f t="shared" si="4"/>
        <v>-40499.06</v>
      </c>
      <c r="G51" s="141">
        <f t="shared" si="5"/>
        <v>-40502</v>
      </c>
    </row>
    <row r="52" spans="1:7" s="200" customFormat="1" ht="12.75" customHeight="1" x14ac:dyDescent="0.2">
      <c r="A52" s="202" t="s">
        <v>539</v>
      </c>
      <c r="B52" s="149">
        <f>7800</f>
        <v>7800</v>
      </c>
      <c r="C52" s="150"/>
      <c r="D52" s="149">
        <f t="shared" si="2"/>
        <v>7800</v>
      </c>
      <c r="E52" s="203" t="str">
        <f t="shared" si="3"/>
        <v/>
      </c>
      <c r="F52" s="141">
        <f t="shared" ref="F52:F53" si="6">-B52</f>
        <v>-7800</v>
      </c>
      <c r="G52" s="141">
        <f t="shared" ref="G52:G53" si="7">-C52</f>
        <v>0</v>
      </c>
    </row>
    <row r="53" spans="1:7" ht="12.75" customHeight="1" x14ac:dyDescent="0.2">
      <c r="A53" s="133" t="s">
        <v>310</v>
      </c>
      <c r="B53" s="151">
        <f>((((((((((B42)+(B43))+(B44))+(B45))+(B46))+(B47))+(B48))+(B49))+(B50))+(B51))+(B52)</f>
        <v>1019483.96</v>
      </c>
      <c r="C53" s="151">
        <f>((((((((((C42)+(C43))+(C44))+(C45))+(C46))+(C47))+(C48))+(C49))+(C50))+(C51))+(C52)</f>
        <v>993328</v>
      </c>
      <c r="D53" s="151">
        <f t="shared" si="2"/>
        <v>26155.959999999963</v>
      </c>
      <c r="E53" s="204">
        <f t="shared" si="3"/>
        <v>1.026331644733663</v>
      </c>
      <c r="F53" s="141">
        <f t="shared" si="6"/>
        <v>-1019483.96</v>
      </c>
      <c r="G53" s="141">
        <f t="shared" si="7"/>
        <v>-993328</v>
      </c>
    </row>
    <row r="54" spans="1:7" ht="12.75" customHeight="1" x14ac:dyDescent="0.2">
      <c r="A54" s="133" t="s">
        <v>311</v>
      </c>
      <c r="B54" s="150"/>
      <c r="C54" s="150"/>
      <c r="D54" s="149">
        <f t="shared" si="2"/>
        <v>0</v>
      </c>
      <c r="E54" s="203" t="str">
        <f t="shared" si="3"/>
        <v/>
      </c>
      <c r="F54" s="141">
        <f t="shared" si="4"/>
        <v>0</v>
      </c>
      <c r="G54" s="141">
        <f t="shared" si="5"/>
        <v>0</v>
      </c>
    </row>
    <row r="55" spans="1:7" ht="12.75" customHeight="1" x14ac:dyDescent="0.2">
      <c r="A55" s="133" t="s">
        <v>312</v>
      </c>
      <c r="B55" s="149">
        <f>125860.23</f>
        <v>125860.23</v>
      </c>
      <c r="C55" s="149">
        <f>156849</f>
        <v>156849</v>
      </c>
      <c r="D55" s="149">
        <f t="shared" si="2"/>
        <v>-30988.770000000004</v>
      </c>
      <c r="E55" s="203">
        <f t="shared" si="3"/>
        <v>0.80242927911558248</v>
      </c>
      <c r="F55" s="141">
        <f t="shared" si="4"/>
        <v>-125860.23</v>
      </c>
      <c r="G55" s="141">
        <f t="shared" si="5"/>
        <v>-156849</v>
      </c>
    </row>
    <row r="56" spans="1:7" ht="12.75" customHeight="1" x14ac:dyDescent="0.2">
      <c r="A56" s="133" t="s">
        <v>313</v>
      </c>
      <c r="B56" s="149">
        <f>41870.5</f>
        <v>41870.5</v>
      </c>
      <c r="C56" s="149">
        <f>41874</f>
        <v>41874</v>
      </c>
      <c r="D56" s="149">
        <f t="shared" si="2"/>
        <v>-3.5</v>
      </c>
      <c r="E56" s="203">
        <f t="shared" si="3"/>
        <v>0.99991641591440994</v>
      </c>
      <c r="F56" s="141">
        <f t="shared" si="4"/>
        <v>-41870.5</v>
      </c>
      <c r="G56" s="141">
        <f t="shared" si="5"/>
        <v>-41874</v>
      </c>
    </row>
    <row r="57" spans="1:7" ht="12.75" customHeight="1" x14ac:dyDescent="0.2">
      <c r="A57" s="133" t="s">
        <v>314</v>
      </c>
      <c r="B57" s="149">
        <f>44453.5</f>
        <v>44453.5</v>
      </c>
      <c r="C57" s="149">
        <f>44457</f>
        <v>44457</v>
      </c>
      <c r="D57" s="149">
        <f t="shared" si="2"/>
        <v>-3.5</v>
      </c>
      <c r="E57" s="203">
        <f t="shared" si="3"/>
        <v>0.99992127224059202</v>
      </c>
      <c r="F57" s="141">
        <f t="shared" si="4"/>
        <v>-44453.5</v>
      </c>
      <c r="G57" s="141">
        <f t="shared" si="5"/>
        <v>-44457</v>
      </c>
    </row>
    <row r="58" spans="1:7" ht="12.75" customHeight="1" x14ac:dyDescent="0.2">
      <c r="A58" s="133" t="s">
        <v>315</v>
      </c>
      <c r="B58" s="149">
        <f>43804.88</f>
        <v>43804.88</v>
      </c>
      <c r="C58" s="149">
        <f>43806</f>
        <v>43806</v>
      </c>
      <c r="D58" s="149">
        <f t="shared" si="2"/>
        <v>-1.1200000000026193</v>
      </c>
      <c r="E58" s="203">
        <f t="shared" si="3"/>
        <v>0.99997443272611053</v>
      </c>
      <c r="F58" s="141">
        <f t="shared" si="4"/>
        <v>-43804.88</v>
      </c>
      <c r="G58" s="141">
        <f t="shared" si="5"/>
        <v>-43806</v>
      </c>
    </row>
    <row r="59" spans="1:7" ht="12.75" customHeight="1" x14ac:dyDescent="0.2">
      <c r="A59" s="133" t="s">
        <v>316</v>
      </c>
      <c r="B59" s="149">
        <f>43804.88</f>
        <v>43804.88</v>
      </c>
      <c r="C59" s="149">
        <f>43750</f>
        <v>43750</v>
      </c>
      <c r="D59" s="149">
        <f t="shared" si="2"/>
        <v>54.879999999997381</v>
      </c>
      <c r="E59" s="203">
        <f t="shared" si="3"/>
        <v>1.0012543999999999</v>
      </c>
      <c r="F59" s="141">
        <f t="shared" si="4"/>
        <v>-43804.88</v>
      </c>
      <c r="G59" s="141">
        <f t="shared" si="5"/>
        <v>-43750</v>
      </c>
    </row>
    <row r="60" spans="1:7" ht="12.75" customHeight="1" x14ac:dyDescent="0.2">
      <c r="A60" s="133" t="s">
        <v>317</v>
      </c>
      <c r="B60" s="151">
        <f>(((((B54)+(B55))+(B56))+(B57))+(B58))+(B59)</f>
        <v>299793.99</v>
      </c>
      <c r="C60" s="151">
        <f>(((((C54)+(C55))+(C56))+(C57))+(C58))+(C59)</f>
        <v>330736</v>
      </c>
      <c r="D60" s="151">
        <f t="shared" si="2"/>
        <v>-30942.010000000009</v>
      </c>
      <c r="E60" s="204">
        <f t="shared" si="3"/>
        <v>0.9064449893570703</v>
      </c>
      <c r="F60" s="141">
        <f t="shared" si="4"/>
        <v>-299793.99</v>
      </c>
      <c r="G60" s="141">
        <f t="shared" si="5"/>
        <v>-330736</v>
      </c>
    </row>
    <row r="61" spans="1:7" ht="12.75" customHeight="1" x14ac:dyDescent="0.2">
      <c r="A61" s="133" t="s">
        <v>318</v>
      </c>
      <c r="B61" s="149">
        <f>35867.18</f>
        <v>35867.18</v>
      </c>
      <c r="C61" s="149">
        <f>43750</f>
        <v>43750</v>
      </c>
      <c r="D61" s="149">
        <f t="shared" si="2"/>
        <v>-7882.82</v>
      </c>
      <c r="E61" s="203">
        <f t="shared" si="3"/>
        <v>0.81982125714285714</v>
      </c>
      <c r="F61" s="141">
        <f t="shared" si="4"/>
        <v>-35867.18</v>
      </c>
      <c r="G61" s="141">
        <f t="shared" si="5"/>
        <v>-43750</v>
      </c>
    </row>
    <row r="62" spans="1:7" ht="12.75" customHeight="1" x14ac:dyDescent="0.2">
      <c r="A62" s="133" t="s">
        <v>319</v>
      </c>
      <c r="B62" s="151">
        <f>((((B32)+(B41))+(B53))+(B60))+(B61)</f>
        <v>1893253.02</v>
      </c>
      <c r="C62" s="151">
        <f>((((C32)+(C41))+(C53))+(C60))+(C61)</f>
        <v>1931294</v>
      </c>
      <c r="D62" s="151">
        <f t="shared" si="2"/>
        <v>-38040.979999999981</v>
      </c>
      <c r="E62" s="204">
        <f t="shared" si="3"/>
        <v>0.98030285394145067</v>
      </c>
      <c r="F62" s="141">
        <f t="shared" si="4"/>
        <v>-1893253.02</v>
      </c>
      <c r="G62" s="141">
        <f t="shared" si="5"/>
        <v>-1931294</v>
      </c>
    </row>
    <row r="63" spans="1:7" ht="12.75" customHeight="1" x14ac:dyDescent="0.2">
      <c r="A63" s="133" t="s">
        <v>320</v>
      </c>
      <c r="B63" s="150"/>
      <c r="C63" s="150"/>
      <c r="D63" s="149">
        <f t="shared" si="2"/>
        <v>0</v>
      </c>
      <c r="E63" s="203" t="str">
        <f t="shared" si="3"/>
        <v/>
      </c>
      <c r="F63" s="141">
        <f t="shared" si="4"/>
        <v>0</v>
      </c>
      <c r="G63" s="141">
        <f t="shared" si="5"/>
        <v>0</v>
      </c>
    </row>
    <row r="64" spans="1:7" ht="12.75" customHeight="1" x14ac:dyDescent="0.2">
      <c r="A64" s="133" t="s">
        <v>321</v>
      </c>
      <c r="B64" s="149">
        <f>22258.39</f>
        <v>22258.39</v>
      </c>
      <c r="C64" s="149">
        <f>17920</f>
        <v>17920</v>
      </c>
      <c r="D64" s="149">
        <f t="shared" si="2"/>
        <v>4338.3899999999994</v>
      </c>
      <c r="E64" s="203">
        <f t="shared" si="3"/>
        <v>1.2420976562499999</v>
      </c>
      <c r="F64" s="141">
        <f t="shared" si="4"/>
        <v>-22258.39</v>
      </c>
      <c r="G64" s="141">
        <f t="shared" si="5"/>
        <v>-17920</v>
      </c>
    </row>
    <row r="65" spans="1:7" ht="12.75" customHeight="1" x14ac:dyDescent="0.2">
      <c r="A65" s="133" t="s">
        <v>322</v>
      </c>
      <c r="B65" s="149">
        <f>127.58</f>
        <v>127.58</v>
      </c>
      <c r="C65" s="149">
        <f>1680</f>
        <v>1680</v>
      </c>
      <c r="D65" s="149">
        <f t="shared" si="2"/>
        <v>-1552.42</v>
      </c>
      <c r="E65" s="203">
        <f t="shared" si="3"/>
        <v>7.5940476190476183E-2</v>
      </c>
      <c r="F65" s="141">
        <f t="shared" si="4"/>
        <v>-127.58</v>
      </c>
      <c r="G65" s="141">
        <f t="shared" si="5"/>
        <v>-1680</v>
      </c>
    </row>
    <row r="66" spans="1:7" ht="12.75" customHeight="1" x14ac:dyDescent="0.2">
      <c r="A66" s="133" t="s">
        <v>323</v>
      </c>
      <c r="B66" s="149">
        <f>29.83</f>
        <v>29.83</v>
      </c>
      <c r="C66" s="150"/>
      <c r="D66" s="149">
        <f t="shared" si="2"/>
        <v>29.83</v>
      </c>
      <c r="E66" s="203" t="str">
        <f t="shared" si="3"/>
        <v/>
      </c>
      <c r="F66" s="141">
        <f t="shared" si="4"/>
        <v>-29.83</v>
      </c>
      <c r="G66" s="141">
        <f t="shared" si="5"/>
        <v>0</v>
      </c>
    </row>
    <row r="67" spans="1:7" ht="12.75" customHeight="1" x14ac:dyDescent="0.2">
      <c r="A67" s="133" t="s">
        <v>324</v>
      </c>
      <c r="B67" s="149">
        <f>113660.65</f>
        <v>113660.65</v>
      </c>
      <c r="C67" s="149">
        <f>131856</f>
        <v>131856</v>
      </c>
      <c r="D67" s="149">
        <f t="shared" si="2"/>
        <v>-18195.350000000006</v>
      </c>
      <c r="E67" s="203">
        <f t="shared" si="3"/>
        <v>0.86200590037616787</v>
      </c>
      <c r="F67" s="141">
        <f t="shared" si="4"/>
        <v>-113660.65</v>
      </c>
      <c r="G67" s="141">
        <f t="shared" si="5"/>
        <v>-131856</v>
      </c>
    </row>
    <row r="68" spans="1:7" ht="12.75" customHeight="1" x14ac:dyDescent="0.2">
      <c r="A68" s="133" t="s">
        <v>325</v>
      </c>
      <c r="B68" s="149">
        <f>0</f>
        <v>0</v>
      </c>
      <c r="C68" s="150"/>
      <c r="D68" s="149">
        <f t="shared" si="2"/>
        <v>0</v>
      </c>
      <c r="E68" s="203" t="str">
        <f t="shared" si="3"/>
        <v/>
      </c>
      <c r="F68" s="141">
        <f t="shared" si="4"/>
        <v>0</v>
      </c>
      <c r="G68" s="141">
        <f t="shared" si="5"/>
        <v>0</v>
      </c>
    </row>
    <row r="69" spans="1:7" ht="12.75" customHeight="1" x14ac:dyDescent="0.2">
      <c r="A69" s="133" t="s">
        <v>326</v>
      </c>
      <c r="B69" s="149">
        <f>26581.29</f>
        <v>26581.29</v>
      </c>
      <c r="C69" s="149">
        <f>30840</f>
        <v>30840</v>
      </c>
      <c r="D69" s="149">
        <f t="shared" si="2"/>
        <v>-4258.7099999999991</v>
      </c>
      <c r="E69" s="203">
        <f t="shared" si="3"/>
        <v>0.86190953307393003</v>
      </c>
      <c r="F69" s="141">
        <f t="shared" si="4"/>
        <v>-26581.29</v>
      </c>
      <c r="G69" s="141">
        <f t="shared" si="5"/>
        <v>-30840</v>
      </c>
    </row>
    <row r="70" spans="1:7" ht="12.75" customHeight="1" x14ac:dyDescent="0.2">
      <c r="A70" s="133" t="s">
        <v>327</v>
      </c>
      <c r="B70" s="149">
        <f>0</f>
        <v>0</v>
      </c>
      <c r="C70" s="150"/>
      <c r="D70" s="149">
        <f t="shared" si="2"/>
        <v>0</v>
      </c>
      <c r="E70" s="203" t="str">
        <f t="shared" si="3"/>
        <v/>
      </c>
      <c r="F70" s="141">
        <f t="shared" si="4"/>
        <v>0</v>
      </c>
      <c r="G70" s="141">
        <f t="shared" si="5"/>
        <v>0</v>
      </c>
    </row>
    <row r="71" spans="1:7" ht="12.75" customHeight="1" x14ac:dyDescent="0.2">
      <c r="A71" s="133" t="s">
        <v>328</v>
      </c>
      <c r="B71" s="149">
        <f>0</f>
        <v>0</v>
      </c>
      <c r="C71" s="150"/>
      <c r="D71" s="149">
        <f t="shared" si="2"/>
        <v>0</v>
      </c>
      <c r="E71" s="203" t="str">
        <f t="shared" si="3"/>
        <v/>
      </c>
      <c r="F71" s="141">
        <f t="shared" si="4"/>
        <v>0</v>
      </c>
      <c r="G71" s="141">
        <f t="shared" si="5"/>
        <v>0</v>
      </c>
    </row>
    <row r="72" spans="1:7" ht="12.75" customHeight="1" x14ac:dyDescent="0.2">
      <c r="A72" s="133" t="s">
        <v>329</v>
      </c>
      <c r="B72" s="149">
        <f>0</f>
        <v>0</v>
      </c>
      <c r="C72" s="150"/>
      <c r="D72" s="149">
        <f t="shared" si="2"/>
        <v>0</v>
      </c>
      <c r="E72" s="203" t="str">
        <f t="shared" si="3"/>
        <v/>
      </c>
      <c r="F72" s="141">
        <f t="shared" si="4"/>
        <v>0</v>
      </c>
      <c r="G72" s="141">
        <f t="shared" si="5"/>
        <v>0</v>
      </c>
    </row>
    <row r="73" spans="1:7" ht="12.75" customHeight="1" x14ac:dyDescent="0.2">
      <c r="A73" s="133" t="s">
        <v>330</v>
      </c>
      <c r="B73" s="149">
        <f>0</f>
        <v>0</v>
      </c>
      <c r="C73" s="150"/>
      <c r="D73" s="149">
        <f t="shared" si="2"/>
        <v>0</v>
      </c>
      <c r="E73" s="203" t="str">
        <f t="shared" si="3"/>
        <v/>
      </c>
      <c r="F73" s="141">
        <f t="shared" si="4"/>
        <v>0</v>
      </c>
      <c r="G73" s="141">
        <f t="shared" si="5"/>
        <v>0</v>
      </c>
    </row>
    <row r="74" spans="1:7" ht="12.75" customHeight="1" x14ac:dyDescent="0.2">
      <c r="A74" s="133" t="s">
        <v>331</v>
      </c>
      <c r="B74" s="149">
        <f>19561.78</f>
        <v>19561.78</v>
      </c>
      <c r="C74" s="149">
        <f>0</f>
        <v>0</v>
      </c>
      <c r="D74" s="149">
        <f t="shared" si="2"/>
        <v>19561.78</v>
      </c>
      <c r="E74" s="203" t="str">
        <f t="shared" si="3"/>
        <v/>
      </c>
      <c r="F74" s="141">
        <f t="shared" si="4"/>
        <v>-19561.78</v>
      </c>
      <c r="G74" s="141">
        <f t="shared" si="5"/>
        <v>0</v>
      </c>
    </row>
    <row r="75" spans="1:7" ht="12.75" customHeight="1" x14ac:dyDescent="0.2">
      <c r="A75" s="133" t="s">
        <v>332</v>
      </c>
      <c r="B75" s="149">
        <f>3492.14</f>
        <v>3492.14</v>
      </c>
      <c r="C75" s="149">
        <f>3336</f>
        <v>3336</v>
      </c>
      <c r="D75" s="149">
        <f t="shared" si="2"/>
        <v>156.13999999999987</v>
      </c>
      <c r="E75" s="203">
        <f t="shared" si="3"/>
        <v>1.046804556354916</v>
      </c>
      <c r="F75" s="141">
        <f t="shared" si="4"/>
        <v>-3492.14</v>
      </c>
      <c r="G75" s="141">
        <f t="shared" si="5"/>
        <v>-3336</v>
      </c>
    </row>
    <row r="76" spans="1:7" ht="12.75" customHeight="1" x14ac:dyDescent="0.2">
      <c r="A76" s="133" t="s">
        <v>333</v>
      </c>
      <c r="B76" s="149">
        <f>50.95</f>
        <v>50.95</v>
      </c>
      <c r="C76" s="149">
        <f>0</f>
        <v>0</v>
      </c>
      <c r="D76" s="149">
        <f t="shared" si="2"/>
        <v>50.95</v>
      </c>
      <c r="E76" s="203" t="str">
        <f t="shared" si="3"/>
        <v/>
      </c>
      <c r="F76" s="141">
        <f t="shared" si="4"/>
        <v>-50.95</v>
      </c>
      <c r="G76" s="141">
        <f t="shared" si="5"/>
        <v>0</v>
      </c>
    </row>
    <row r="77" spans="1:7" ht="12.75" customHeight="1" x14ac:dyDescent="0.2">
      <c r="A77" s="133" t="s">
        <v>334</v>
      </c>
      <c r="B77" s="149">
        <f>0</f>
        <v>0</v>
      </c>
      <c r="C77" s="150"/>
      <c r="D77" s="149">
        <f t="shared" si="2"/>
        <v>0</v>
      </c>
      <c r="E77" s="203" t="str">
        <f t="shared" si="3"/>
        <v/>
      </c>
      <c r="F77" s="141">
        <f t="shared" si="4"/>
        <v>0</v>
      </c>
      <c r="G77" s="141">
        <f t="shared" si="5"/>
        <v>0</v>
      </c>
    </row>
    <row r="78" spans="1:7" ht="12.75" customHeight="1" x14ac:dyDescent="0.2">
      <c r="A78" s="133" t="s">
        <v>335</v>
      </c>
      <c r="B78" s="149">
        <f>1025</f>
        <v>1025</v>
      </c>
      <c r="C78" s="149">
        <f>1336</f>
        <v>1336</v>
      </c>
      <c r="D78" s="149">
        <f t="shared" si="2"/>
        <v>-311</v>
      </c>
      <c r="E78" s="203">
        <f t="shared" si="3"/>
        <v>0.76721556886227549</v>
      </c>
      <c r="F78" s="141">
        <f t="shared" si="4"/>
        <v>-1025</v>
      </c>
      <c r="G78" s="141">
        <f t="shared" si="5"/>
        <v>-1336</v>
      </c>
    </row>
    <row r="79" spans="1:7" ht="12.75" customHeight="1" x14ac:dyDescent="0.2">
      <c r="A79" s="133" t="s">
        <v>336</v>
      </c>
      <c r="B79" s="149">
        <f>2420.8</f>
        <v>2420.8000000000002</v>
      </c>
      <c r="C79" s="149">
        <f>2664</f>
        <v>2664</v>
      </c>
      <c r="D79" s="149">
        <f t="shared" si="2"/>
        <v>-243.19999999999982</v>
      </c>
      <c r="E79" s="203">
        <f t="shared" si="3"/>
        <v>0.90870870870870879</v>
      </c>
      <c r="F79" s="141">
        <f t="shared" si="4"/>
        <v>-2420.8000000000002</v>
      </c>
      <c r="G79" s="141">
        <f t="shared" si="5"/>
        <v>-2664</v>
      </c>
    </row>
    <row r="80" spans="1:7" ht="12.75" customHeight="1" x14ac:dyDescent="0.2">
      <c r="A80" s="133" t="s">
        <v>337</v>
      </c>
      <c r="B80" s="150"/>
      <c r="C80" s="150"/>
      <c r="D80" s="149">
        <f t="shared" si="2"/>
        <v>0</v>
      </c>
      <c r="E80" s="203" t="str">
        <f t="shared" si="3"/>
        <v/>
      </c>
      <c r="F80" s="141">
        <f t="shared" si="4"/>
        <v>0</v>
      </c>
      <c r="G80" s="141">
        <f t="shared" si="5"/>
        <v>0</v>
      </c>
    </row>
    <row r="81" spans="1:7" ht="12.75" customHeight="1" x14ac:dyDescent="0.2">
      <c r="A81" s="133" t="s">
        <v>338</v>
      </c>
      <c r="B81" s="149">
        <f>166355.39</f>
        <v>166355.39000000001</v>
      </c>
      <c r="C81" s="149">
        <f>158200</f>
        <v>158200</v>
      </c>
      <c r="D81" s="149">
        <f t="shared" si="2"/>
        <v>8155.390000000014</v>
      </c>
      <c r="E81" s="203">
        <f t="shared" si="3"/>
        <v>1.0515511378002529</v>
      </c>
      <c r="F81" s="141">
        <f t="shared" si="4"/>
        <v>-166355.39000000001</v>
      </c>
      <c r="G81" s="141">
        <f t="shared" si="5"/>
        <v>-158200</v>
      </c>
    </row>
    <row r="82" spans="1:7" ht="12.75" customHeight="1" x14ac:dyDescent="0.2">
      <c r="A82" s="133" t="s">
        <v>339</v>
      </c>
      <c r="B82" s="149">
        <f>6314.32</f>
        <v>6314.32</v>
      </c>
      <c r="C82" s="149">
        <f>8400</f>
        <v>8400</v>
      </c>
      <c r="D82" s="149">
        <f t="shared" si="2"/>
        <v>-2085.6800000000003</v>
      </c>
      <c r="E82" s="203">
        <f t="shared" si="3"/>
        <v>0.75170476190476188</v>
      </c>
      <c r="F82" s="141">
        <f t="shared" si="4"/>
        <v>-6314.32</v>
      </c>
      <c r="G82" s="141">
        <f t="shared" si="5"/>
        <v>-8400</v>
      </c>
    </row>
    <row r="83" spans="1:7" ht="12.75" customHeight="1" x14ac:dyDescent="0.2">
      <c r="A83" s="133" t="s">
        <v>340</v>
      </c>
      <c r="B83" s="149">
        <f>1884.4</f>
        <v>1884.4</v>
      </c>
      <c r="C83" s="149">
        <f>2800</f>
        <v>2800</v>
      </c>
      <c r="D83" s="149">
        <f t="shared" si="2"/>
        <v>-915.59999999999991</v>
      </c>
      <c r="E83" s="203">
        <f t="shared" si="3"/>
        <v>0.67300000000000004</v>
      </c>
      <c r="F83" s="141">
        <f t="shared" si="4"/>
        <v>-1884.4</v>
      </c>
      <c r="G83" s="141">
        <f t="shared" si="5"/>
        <v>-2800</v>
      </c>
    </row>
    <row r="84" spans="1:7" ht="12.75" customHeight="1" x14ac:dyDescent="0.2">
      <c r="A84" s="133" t="s">
        <v>341</v>
      </c>
      <c r="B84" s="149">
        <f>7389.1</f>
        <v>7389.1</v>
      </c>
      <c r="C84" s="149">
        <f>8400</f>
        <v>8400</v>
      </c>
      <c r="D84" s="149">
        <f t="shared" si="2"/>
        <v>-1010.8999999999996</v>
      </c>
      <c r="E84" s="203">
        <f t="shared" si="3"/>
        <v>0.87965476190476199</v>
      </c>
      <c r="F84" s="141">
        <f t="shared" si="4"/>
        <v>-7389.1</v>
      </c>
      <c r="G84" s="141">
        <f t="shared" si="5"/>
        <v>-8400</v>
      </c>
    </row>
    <row r="85" spans="1:7" ht="12.75" customHeight="1" x14ac:dyDescent="0.2">
      <c r="A85" s="133" t="s">
        <v>342</v>
      </c>
      <c r="B85" s="149">
        <f>18552.28</f>
        <v>18552.28</v>
      </c>
      <c r="C85" s="149">
        <f>10000</f>
        <v>10000</v>
      </c>
      <c r="D85" s="149">
        <f t="shared" si="2"/>
        <v>8552.2799999999988</v>
      </c>
      <c r="E85" s="203">
        <f t="shared" si="3"/>
        <v>1.8552279999999999</v>
      </c>
      <c r="F85" s="141">
        <f t="shared" si="4"/>
        <v>-18552.28</v>
      </c>
      <c r="G85" s="141">
        <f t="shared" si="5"/>
        <v>-10000</v>
      </c>
    </row>
    <row r="86" spans="1:7" ht="12.75" customHeight="1" x14ac:dyDescent="0.2">
      <c r="A86" s="133" t="s">
        <v>343</v>
      </c>
      <c r="B86" s="151">
        <f>(((((B80)+(B81))+(B82))+(B83))+(B84))+(B85)</f>
        <v>200495.49000000002</v>
      </c>
      <c r="C86" s="151">
        <f>(((((C80)+(C81))+(C82))+(C83))+(C84))+(C85)</f>
        <v>187800</v>
      </c>
      <c r="D86" s="151">
        <f t="shared" si="2"/>
        <v>12695.49000000002</v>
      </c>
      <c r="E86" s="204">
        <f t="shared" si="3"/>
        <v>1.0676011182108627</v>
      </c>
      <c r="F86" s="141">
        <f t="shared" si="4"/>
        <v>-200495.49000000002</v>
      </c>
      <c r="G86" s="141">
        <f t="shared" si="5"/>
        <v>-187800</v>
      </c>
    </row>
    <row r="87" spans="1:7" ht="12.75" customHeight="1" x14ac:dyDescent="0.2">
      <c r="A87" s="133" t="s">
        <v>344</v>
      </c>
      <c r="B87" s="151">
        <f>(((((((((((((((((B63)+(B64))+(B65))+(B66))+(B67))+(B68))+(B69))+(B70))+(B71))+(B72))+(B73))+(B74))+(B75))+(B76))+(B77))+(B78))+(B79))+(B86)</f>
        <v>389703.9</v>
      </c>
      <c r="C87" s="151">
        <f>(((((((((((((((((C63)+(C64))+(C65))+(C66))+(C67))+(C68))+(C69))+(C70))+(C71))+(C72))+(C73))+(C74))+(C75))+(C76))+(C77))+(C78))+(C79))+(C86)</f>
        <v>377432</v>
      </c>
      <c r="D87" s="151">
        <f t="shared" si="2"/>
        <v>12271.900000000023</v>
      </c>
      <c r="E87" s="204">
        <f t="shared" si="3"/>
        <v>1.0325142012335997</v>
      </c>
      <c r="F87" s="141">
        <f t="shared" si="4"/>
        <v>-389703.9</v>
      </c>
      <c r="G87" s="141">
        <f t="shared" si="5"/>
        <v>-377432</v>
      </c>
    </row>
    <row r="88" spans="1:7" ht="12.75" customHeight="1" x14ac:dyDescent="0.2">
      <c r="A88" s="133" t="s">
        <v>345</v>
      </c>
      <c r="B88" s="150"/>
      <c r="C88" s="150"/>
      <c r="D88" s="149">
        <f t="shared" si="2"/>
        <v>0</v>
      </c>
      <c r="E88" s="203" t="str">
        <f t="shared" si="3"/>
        <v/>
      </c>
      <c r="F88" s="141">
        <f t="shared" si="4"/>
        <v>0</v>
      </c>
      <c r="G88" s="141">
        <f t="shared" si="5"/>
        <v>0</v>
      </c>
    </row>
    <row r="89" spans="1:7" ht="12.75" customHeight="1" x14ac:dyDescent="0.2">
      <c r="A89" s="133" t="s">
        <v>346</v>
      </c>
      <c r="B89" s="149">
        <f>26113.05</f>
        <v>26113.05</v>
      </c>
      <c r="C89" s="149">
        <f>28000</f>
        <v>28000</v>
      </c>
      <c r="D89" s="149">
        <f t="shared" si="2"/>
        <v>-1886.9500000000007</v>
      </c>
      <c r="E89" s="203">
        <f t="shared" si="3"/>
        <v>0.93260892857142852</v>
      </c>
      <c r="F89" s="141">
        <f t="shared" si="4"/>
        <v>-26113.05</v>
      </c>
      <c r="G89" s="141">
        <f t="shared" si="5"/>
        <v>-28000</v>
      </c>
    </row>
    <row r="90" spans="1:7" ht="12.75" customHeight="1" x14ac:dyDescent="0.2">
      <c r="A90" s="133" t="s">
        <v>347</v>
      </c>
      <c r="B90" s="149">
        <f>2069.07</f>
        <v>2069.0700000000002</v>
      </c>
      <c r="C90" s="149">
        <f>28000</f>
        <v>28000</v>
      </c>
      <c r="D90" s="149">
        <f t="shared" si="2"/>
        <v>-25930.93</v>
      </c>
      <c r="E90" s="203">
        <f t="shared" si="3"/>
        <v>7.3895357142857152E-2</v>
      </c>
      <c r="F90" s="141">
        <f t="shared" si="4"/>
        <v>-2069.0700000000002</v>
      </c>
      <c r="G90" s="141">
        <f t="shared" si="5"/>
        <v>-28000</v>
      </c>
    </row>
    <row r="91" spans="1:7" ht="12.75" customHeight="1" x14ac:dyDescent="0.2">
      <c r="A91" s="133" t="s">
        <v>348</v>
      </c>
      <c r="B91" s="150"/>
      <c r="C91" s="149">
        <f>14080</f>
        <v>14080</v>
      </c>
      <c r="D91" s="149">
        <f t="shared" si="2"/>
        <v>-14080</v>
      </c>
      <c r="E91" s="203">
        <f t="shared" si="3"/>
        <v>0</v>
      </c>
      <c r="F91" s="141">
        <f t="shared" si="4"/>
        <v>0</v>
      </c>
      <c r="G91" s="141">
        <f t="shared" si="5"/>
        <v>-14080</v>
      </c>
    </row>
    <row r="92" spans="1:7" ht="12.75" customHeight="1" x14ac:dyDescent="0.2">
      <c r="A92" s="133" t="s">
        <v>349</v>
      </c>
      <c r="B92" s="150"/>
      <c r="C92" s="149">
        <f>3620</f>
        <v>3620</v>
      </c>
      <c r="D92" s="149">
        <f t="shared" si="2"/>
        <v>-3620</v>
      </c>
      <c r="E92" s="203">
        <f t="shared" si="3"/>
        <v>0</v>
      </c>
      <c r="F92" s="141">
        <f t="shared" si="4"/>
        <v>0</v>
      </c>
      <c r="G92" s="141">
        <f t="shared" si="5"/>
        <v>-3620</v>
      </c>
    </row>
    <row r="93" spans="1:7" ht="12.75" customHeight="1" x14ac:dyDescent="0.2">
      <c r="A93" s="133" t="s">
        <v>350</v>
      </c>
      <c r="B93" s="150"/>
      <c r="C93" s="149">
        <f>1510</f>
        <v>1510</v>
      </c>
      <c r="D93" s="149">
        <f t="shared" si="2"/>
        <v>-1510</v>
      </c>
      <c r="E93" s="203">
        <f t="shared" si="3"/>
        <v>0</v>
      </c>
      <c r="F93" s="141">
        <f t="shared" si="4"/>
        <v>0</v>
      </c>
      <c r="G93" s="141">
        <f t="shared" si="5"/>
        <v>-1510</v>
      </c>
    </row>
    <row r="94" spans="1:7" ht="12.75" customHeight="1" x14ac:dyDescent="0.2">
      <c r="A94" s="133" t="s">
        <v>351</v>
      </c>
      <c r="B94" s="149">
        <f>14259.01</f>
        <v>14259.01</v>
      </c>
      <c r="C94" s="149">
        <f>16000</f>
        <v>16000</v>
      </c>
      <c r="D94" s="149">
        <f t="shared" si="2"/>
        <v>-1740.9899999999998</v>
      </c>
      <c r="E94" s="203">
        <f t="shared" si="3"/>
        <v>0.891188125</v>
      </c>
      <c r="F94" s="141">
        <f t="shared" si="4"/>
        <v>-14259.01</v>
      </c>
      <c r="G94" s="141">
        <f t="shared" si="5"/>
        <v>-16000</v>
      </c>
    </row>
    <row r="95" spans="1:7" ht="12.75" customHeight="1" x14ac:dyDescent="0.2">
      <c r="A95" s="133" t="s">
        <v>352</v>
      </c>
      <c r="B95" s="149">
        <f>34479.62</f>
        <v>34479.620000000003</v>
      </c>
      <c r="C95" s="149">
        <f>13336</f>
        <v>13336</v>
      </c>
      <c r="D95" s="149">
        <f t="shared" si="2"/>
        <v>21143.620000000003</v>
      </c>
      <c r="E95" s="203">
        <f t="shared" si="3"/>
        <v>2.5854544091181766</v>
      </c>
      <c r="F95" s="141">
        <f t="shared" ref="F95:F157" si="8">-B95</f>
        <v>-34479.620000000003</v>
      </c>
      <c r="G95" s="141">
        <f t="shared" ref="G95:G157" si="9">-C95</f>
        <v>-13336</v>
      </c>
    </row>
    <row r="96" spans="1:7" ht="12.75" customHeight="1" x14ac:dyDescent="0.2">
      <c r="A96" s="133" t="s">
        <v>353</v>
      </c>
      <c r="B96" s="149">
        <f>22311</f>
        <v>22311</v>
      </c>
      <c r="C96" s="149">
        <f>9000</f>
        <v>9000</v>
      </c>
      <c r="D96" s="149">
        <f t="shared" ref="D96:D157" si="10">(B96)-(C96)</f>
        <v>13311</v>
      </c>
      <c r="E96" s="203">
        <f t="shared" ref="E96:E157" si="11">IF(C96=0,"",(B96)/(C96))</f>
        <v>2.4790000000000001</v>
      </c>
      <c r="F96" s="141">
        <f t="shared" si="8"/>
        <v>-22311</v>
      </c>
      <c r="G96" s="141">
        <f t="shared" si="9"/>
        <v>-9000</v>
      </c>
    </row>
    <row r="97" spans="1:7" ht="12.75" customHeight="1" x14ac:dyDescent="0.2">
      <c r="A97" s="133" t="s">
        <v>354</v>
      </c>
      <c r="B97" s="150"/>
      <c r="C97" s="149">
        <f>12000</f>
        <v>12000</v>
      </c>
      <c r="D97" s="149">
        <f t="shared" si="10"/>
        <v>-12000</v>
      </c>
      <c r="E97" s="203">
        <f t="shared" si="11"/>
        <v>0</v>
      </c>
      <c r="F97" s="141">
        <f t="shared" si="8"/>
        <v>0</v>
      </c>
      <c r="G97" s="141">
        <f t="shared" si="9"/>
        <v>-12000</v>
      </c>
    </row>
    <row r="98" spans="1:7" ht="12.75" customHeight="1" x14ac:dyDescent="0.2">
      <c r="A98" s="133" t="s">
        <v>355</v>
      </c>
      <c r="B98" s="149">
        <f>3626.75</f>
        <v>3626.75</v>
      </c>
      <c r="C98" s="149">
        <f>4200</f>
        <v>4200</v>
      </c>
      <c r="D98" s="149">
        <f t="shared" si="10"/>
        <v>-573.25</v>
      </c>
      <c r="E98" s="203">
        <f t="shared" si="11"/>
        <v>0.86351190476190476</v>
      </c>
      <c r="F98" s="141">
        <f t="shared" si="8"/>
        <v>-3626.75</v>
      </c>
      <c r="G98" s="141">
        <f t="shared" si="9"/>
        <v>-4200</v>
      </c>
    </row>
    <row r="99" spans="1:7" ht="12.75" customHeight="1" x14ac:dyDescent="0.2">
      <c r="A99" s="133" t="s">
        <v>356</v>
      </c>
      <c r="B99" s="149">
        <f>2646.25</f>
        <v>2646.25</v>
      </c>
      <c r="C99" s="149">
        <f>12000</f>
        <v>12000</v>
      </c>
      <c r="D99" s="149">
        <f t="shared" si="10"/>
        <v>-9353.75</v>
      </c>
      <c r="E99" s="203">
        <f t="shared" si="11"/>
        <v>0.22052083333333333</v>
      </c>
      <c r="F99" s="141">
        <f t="shared" si="8"/>
        <v>-2646.25</v>
      </c>
      <c r="G99" s="141">
        <f t="shared" si="9"/>
        <v>-12000</v>
      </c>
    </row>
    <row r="100" spans="1:7" ht="12.75" customHeight="1" x14ac:dyDescent="0.2">
      <c r="A100" s="133" t="s">
        <v>357</v>
      </c>
      <c r="B100" s="149">
        <f>45368.01</f>
        <v>45368.01</v>
      </c>
      <c r="C100" s="149">
        <f>30000</f>
        <v>30000</v>
      </c>
      <c r="D100" s="149">
        <f t="shared" si="10"/>
        <v>15368.010000000002</v>
      </c>
      <c r="E100" s="203">
        <f t="shared" si="11"/>
        <v>1.512267</v>
      </c>
      <c r="F100" s="141">
        <f t="shared" si="8"/>
        <v>-45368.01</v>
      </c>
      <c r="G100" s="141">
        <f t="shared" si="9"/>
        <v>-30000</v>
      </c>
    </row>
    <row r="101" spans="1:7" ht="12.75" customHeight="1" x14ac:dyDescent="0.2">
      <c r="A101" s="133" t="s">
        <v>358</v>
      </c>
      <c r="B101" s="149">
        <f>8837.5</f>
        <v>8837.5</v>
      </c>
      <c r="C101" s="149">
        <f>5520</f>
        <v>5520</v>
      </c>
      <c r="D101" s="149">
        <f t="shared" si="10"/>
        <v>3317.5</v>
      </c>
      <c r="E101" s="203">
        <f t="shared" si="11"/>
        <v>1.6009963768115942</v>
      </c>
      <c r="F101" s="141">
        <f t="shared" si="8"/>
        <v>-8837.5</v>
      </c>
      <c r="G101" s="141">
        <f t="shared" si="9"/>
        <v>-5520</v>
      </c>
    </row>
    <row r="102" spans="1:7" ht="12.75" customHeight="1" x14ac:dyDescent="0.2">
      <c r="A102" s="133" t="s">
        <v>359</v>
      </c>
      <c r="B102" s="149">
        <f>12831.05</f>
        <v>12831.05</v>
      </c>
      <c r="C102" s="149">
        <f>12000</f>
        <v>12000</v>
      </c>
      <c r="D102" s="149">
        <f t="shared" si="10"/>
        <v>831.04999999999927</v>
      </c>
      <c r="E102" s="203">
        <f t="shared" si="11"/>
        <v>1.0692541666666666</v>
      </c>
      <c r="F102" s="141">
        <f t="shared" si="8"/>
        <v>-12831.05</v>
      </c>
      <c r="G102" s="141">
        <f t="shared" si="9"/>
        <v>-12000</v>
      </c>
    </row>
    <row r="103" spans="1:7" ht="12.75" customHeight="1" x14ac:dyDescent="0.2">
      <c r="A103" s="133" t="s">
        <v>360</v>
      </c>
      <c r="B103" s="149">
        <f>24683.41</f>
        <v>24683.41</v>
      </c>
      <c r="C103" s="149">
        <f>6400</f>
        <v>6400</v>
      </c>
      <c r="D103" s="149">
        <f t="shared" si="10"/>
        <v>18283.41</v>
      </c>
      <c r="E103" s="203">
        <f t="shared" si="11"/>
        <v>3.8567828125000001</v>
      </c>
      <c r="F103" s="141">
        <f t="shared" si="8"/>
        <v>-24683.41</v>
      </c>
      <c r="G103" s="141">
        <f t="shared" si="9"/>
        <v>-6400</v>
      </c>
    </row>
    <row r="104" spans="1:7" ht="12.75" customHeight="1" x14ac:dyDescent="0.2">
      <c r="A104" s="133" t="s">
        <v>361</v>
      </c>
      <c r="B104" s="150"/>
      <c r="C104" s="149">
        <f>900</f>
        <v>900</v>
      </c>
      <c r="D104" s="149">
        <f t="shared" si="10"/>
        <v>-900</v>
      </c>
      <c r="E104" s="203">
        <f t="shared" si="11"/>
        <v>0</v>
      </c>
      <c r="F104" s="141">
        <f t="shared" si="8"/>
        <v>0</v>
      </c>
      <c r="G104" s="141">
        <f t="shared" si="9"/>
        <v>-900</v>
      </c>
    </row>
    <row r="105" spans="1:7" ht="12.75" customHeight="1" x14ac:dyDescent="0.2">
      <c r="A105" s="133" t="s">
        <v>362</v>
      </c>
      <c r="B105" s="151">
        <f>((((((((((((((((B88)+(B89))+(B90))+(B91))+(B92))+(B93))+(B94))+(B95))+(B96))+(B97))+(B98))+(B99))+(B100))+(B101))+(B102))+(B103))+(B104)</f>
        <v>197224.72</v>
      </c>
      <c r="C105" s="151">
        <f>((((((((((((((((C88)+(C89))+(C90))+(C91))+(C92))+(C93))+(C94))+(C95))+(C96))+(C97))+(C98))+(C99))+(C100))+(C101))+(C102))+(C103))+(C104)</f>
        <v>196566</v>
      </c>
      <c r="D105" s="151">
        <f t="shared" si="10"/>
        <v>658.72000000000116</v>
      </c>
      <c r="E105" s="204">
        <f t="shared" si="11"/>
        <v>1.0033511390576193</v>
      </c>
      <c r="F105" s="141">
        <f t="shared" si="8"/>
        <v>-197224.72</v>
      </c>
      <c r="G105" s="141">
        <f t="shared" si="9"/>
        <v>-196566</v>
      </c>
    </row>
    <row r="106" spans="1:7" ht="12.75" customHeight="1" x14ac:dyDescent="0.2">
      <c r="A106" s="133" t="s">
        <v>363</v>
      </c>
      <c r="B106" s="150"/>
      <c r="C106" s="150"/>
      <c r="D106" s="149">
        <f t="shared" si="10"/>
        <v>0</v>
      </c>
      <c r="E106" s="203" t="str">
        <f t="shared" si="11"/>
        <v/>
      </c>
      <c r="F106" s="141">
        <f t="shared" si="8"/>
        <v>0</v>
      </c>
      <c r="G106" s="141">
        <f t="shared" si="9"/>
        <v>0</v>
      </c>
    </row>
    <row r="107" spans="1:7" ht="12.75" customHeight="1" x14ac:dyDescent="0.2">
      <c r="A107" s="133" t="s">
        <v>364</v>
      </c>
      <c r="B107" s="149">
        <f>15262.16</f>
        <v>15262.16</v>
      </c>
      <c r="C107" s="149">
        <f>12800</f>
        <v>12800</v>
      </c>
      <c r="D107" s="149">
        <f t="shared" si="10"/>
        <v>2462.16</v>
      </c>
      <c r="E107" s="203">
        <f t="shared" si="11"/>
        <v>1.19235625</v>
      </c>
      <c r="F107" s="141">
        <f t="shared" si="8"/>
        <v>-15262.16</v>
      </c>
      <c r="G107" s="141">
        <f t="shared" si="9"/>
        <v>-12800</v>
      </c>
    </row>
    <row r="108" spans="1:7" ht="12.75" customHeight="1" x14ac:dyDescent="0.2">
      <c r="A108" s="133" t="s">
        <v>365</v>
      </c>
      <c r="B108" s="149">
        <f>18673.08</f>
        <v>18673.080000000002</v>
      </c>
      <c r="C108" s="149">
        <f>22000</f>
        <v>22000</v>
      </c>
      <c r="D108" s="149">
        <f t="shared" si="10"/>
        <v>-3326.9199999999983</v>
      </c>
      <c r="E108" s="203">
        <f t="shared" si="11"/>
        <v>0.84877636363636366</v>
      </c>
      <c r="F108" s="141">
        <f t="shared" si="8"/>
        <v>-18673.080000000002</v>
      </c>
      <c r="G108" s="141">
        <f t="shared" si="9"/>
        <v>-22000</v>
      </c>
    </row>
    <row r="109" spans="1:7" ht="12.75" customHeight="1" x14ac:dyDescent="0.2">
      <c r="A109" s="133" t="s">
        <v>366</v>
      </c>
      <c r="B109" s="149">
        <f>3514.37</f>
        <v>3514.37</v>
      </c>
      <c r="C109" s="149">
        <f>4000</f>
        <v>4000</v>
      </c>
      <c r="D109" s="149">
        <f t="shared" si="10"/>
        <v>-485.63000000000011</v>
      </c>
      <c r="E109" s="203">
        <f t="shared" si="11"/>
        <v>0.8785925</v>
      </c>
      <c r="F109" s="141">
        <f t="shared" si="8"/>
        <v>-3514.37</v>
      </c>
      <c r="G109" s="141">
        <f t="shared" si="9"/>
        <v>-4000</v>
      </c>
    </row>
    <row r="110" spans="1:7" ht="12.75" customHeight="1" x14ac:dyDescent="0.2">
      <c r="A110" s="133" t="s">
        <v>367</v>
      </c>
      <c r="B110" s="149">
        <f>6651.52</f>
        <v>6651.52</v>
      </c>
      <c r="C110" s="149">
        <f>4000</f>
        <v>4000</v>
      </c>
      <c r="D110" s="149">
        <f t="shared" si="10"/>
        <v>2651.5200000000004</v>
      </c>
      <c r="E110" s="203">
        <f t="shared" si="11"/>
        <v>1.6628800000000001</v>
      </c>
      <c r="F110" s="141">
        <f t="shared" si="8"/>
        <v>-6651.52</v>
      </c>
      <c r="G110" s="141">
        <f t="shared" si="9"/>
        <v>-4000</v>
      </c>
    </row>
    <row r="111" spans="1:7" ht="12.75" customHeight="1" x14ac:dyDescent="0.2">
      <c r="A111" s="133" t="s">
        <v>368</v>
      </c>
      <c r="B111" s="149">
        <f>5364.74</f>
        <v>5364.74</v>
      </c>
      <c r="C111" s="149">
        <f>2664</f>
        <v>2664</v>
      </c>
      <c r="D111" s="149">
        <f t="shared" si="10"/>
        <v>2700.74</v>
      </c>
      <c r="E111" s="203">
        <f t="shared" si="11"/>
        <v>2.0137912912912914</v>
      </c>
      <c r="F111" s="141">
        <f t="shared" si="8"/>
        <v>-5364.74</v>
      </c>
      <c r="G111" s="141">
        <f t="shared" si="9"/>
        <v>-2664</v>
      </c>
    </row>
    <row r="112" spans="1:7" ht="12.75" customHeight="1" x14ac:dyDescent="0.2">
      <c r="A112" s="133" t="s">
        <v>369</v>
      </c>
      <c r="B112" s="149">
        <f>20893.84</f>
        <v>20893.84</v>
      </c>
      <c r="C112" s="149">
        <f>6664</f>
        <v>6664</v>
      </c>
      <c r="D112" s="149">
        <f t="shared" si="10"/>
        <v>14229.84</v>
      </c>
      <c r="E112" s="203">
        <f t="shared" si="11"/>
        <v>3.1353301320528213</v>
      </c>
      <c r="F112" s="141">
        <f t="shared" si="8"/>
        <v>-20893.84</v>
      </c>
      <c r="G112" s="141">
        <f t="shared" si="9"/>
        <v>-6664</v>
      </c>
    </row>
    <row r="113" spans="1:7" ht="12.75" customHeight="1" x14ac:dyDescent="0.2">
      <c r="A113" s="133" t="s">
        <v>370</v>
      </c>
      <c r="B113" s="150"/>
      <c r="C113" s="149">
        <f>336</f>
        <v>336</v>
      </c>
      <c r="D113" s="149">
        <f t="shared" si="10"/>
        <v>-336</v>
      </c>
      <c r="E113" s="203">
        <f t="shared" si="11"/>
        <v>0</v>
      </c>
      <c r="F113" s="141">
        <f t="shared" si="8"/>
        <v>0</v>
      </c>
      <c r="G113" s="141">
        <f t="shared" si="9"/>
        <v>-336</v>
      </c>
    </row>
    <row r="114" spans="1:7" ht="12.75" customHeight="1" x14ac:dyDescent="0.2">
      <c r="A114" s="133" t="s">
        <v>371</v>
      </c>
      <c r="B114" s="149">
        <f>4419.72</f>
        <v>4419.72</v>
      </c>
      <c r="C114" s="149">
        <f>3336</f>
        <v>3336</v>
      </c>
      <c r="D114" s="149">
        <f t="shared" si="10"/>
        <v>1083.7200000000003</v>
      </c>
      <c r="E114" s="203">
        <f t="shared" si="11"/>
        <v>1.3248561151079137</v>
      </c>
      <c r="F114" s="141">
        <f t="shared" si="8"/>
        <v>-4419.72</v>
      </c>
      <c r="G114" s="141">
        <f t="shared" si="9"/>
        <v>-3336</v>
      </c>
    </row>
    <row r="115" spans="1:7" ht="12.75" customHeight="1" x14ac:dyDescent="0.2">
      <c r="A115" s="133" t="s">
        <v>372</v>
      </c>
      <c r="B115" s="149">
        <f>2962.26</f>
        <v>2962.26</v>
      </c>
      <c r="C115" s="149">
        <f>2400</f>
        <v>2400</v>
      </c>
      <c r="D115" s="149">
        <f t="shared" si="10"/>
        <v>562.26000000000022</v>
      </c>
      <c r="E115" s="203">
        <f t="shared" si="11"/>
        <v>1.234275</v>
      </c>
      <c r="F115" s="141">
        <f t="shared" si="8"/>
        <v>-2962.26</v>
      </c>
      <c r="G115" s="141">
        <f t="shared" si="9"/>
        <v>-2400</v>
      </c>
    </row>
    <row r="116" spans="1:7" ht="12.75" customHeight="1" x14ac:dyDescent="0.2">
      <c r="A116" s="133" t="s">
        <v>373</v>
      </c>
      <c r="B116" s="151">
        <f>(((((((((B106)+(B107))+(B108))+(B109))+(B110))+(B111))+(B112))+(B113))+(B114))+(B115)</f>
        <v>77741.69</v>
      </c>
      <c r="C116" s="151">
        <f>(((((((((C106)+(C107))+(C108))+(C109))+(C110))+(C111))+(C112))+(C113))+(C114))+(C115)</f>
        <v>58200</v>
      </c>
      <c r="D116" s="151">
        <f t="shared" si="10"/>
        <v>19541.690000000002</v>
      </c>
      <c r="E116" s="204">
        <f t="shared" si="11"/>
        <v>1.3357678694158075</v>
      </c>
      <c r="F116" s="141">
        <f t="shared" si="8"/>
        <v>-77741.69</v>
      </c>
      <c r="G116" s="141">
        <f t="shared" si="9"/>
        <v>-58200</v>
      </c>
    </row>
    <row r="117" spans="1:7" ht="12.75" customHeight="1" x14ac:dyDescent="0.2">
      <c r="A117" s="133" t="s">
        <v>374</v>
      </c>
      <c r="B117" s="150"/>
      <c r="C117" s="150"/>
      <c r="D117" s="149">
        <f t="shared" si="10"/>
        <v>0</v>
      </c>
      <c r="E117" s="203" t="str">
        <f t="shared" si="11"/>
        <v/>
      </c>
      <c r="F117" s="141">
        <f t="shared" si="8"/>
        <v>0</v>
      </c>
      <c r="G117" s="141">
        <f t="shared" si="9"/>
        <v>0</v>
      </c>
    </row>
    <row r="118" spans="1:7" ht="12.75" customHeight="1" x14ac:dyDescent="0.2">
      <c r="A118" s="133" t="s">
        <v>375</v>
      </c>
      <c r="B118" s="150"/>
      <c r="C118" s="149">
        <f>0</f>
        <v>0</v>
      </c>
      <c r="D118" s="149">
        <f t="shared" si="10"/>
        <v>0</v>
      </c>
      <c r="E118" s="203" t="str">
        <f t="shared" si="11"/>
        <v/>
      </c>
      <c r="F118" s="141">
        <f t="shared" si="8"/>
        <v>0</v>
      </c>
      <c r="G118" s="141">
        <f t="shared" si="9"/>
        <v>0</v>
      </c>
    </row>
    <row r="119" spans="1:7" ht="12.75" customHeight="1" x14ac:dyDescent="0.2">
      <c r="A119" s="133" t="s">
        <v>376</v>
      </c>
      <c r="B119" s="149">
        <f>62492.46</f>
        <v>62492.46</v>
      </c>
      <c r="C119" s="149">
        <f>60000</f>
        <v>60000</v>
      </c>
      <c r="D119" s="149">
        <f t="shared" si="10"/>
        <v>2492.4599999999991</v>
      </c>
      <c r="E119" s="203">
        <f t="shared" si="11"/>
        <v>1.0415410000000001</v>
      </c>
      <c r="F119" s="141">
        <f t="shared" si="8"/>
        <v>-62492.46</v>
      </c>
      <c r="G119" s="141">
        <f t="shared" si="9"/>
        <v>-60000</v>
      </c>
    </row>
    <row r="120" spans="1:7" ht="12.75" customHeight="1" x14ac:dyDescent="0.2">
      <c r="A120" s="133" t="s">
        <v>377</v>
      </c>
      <c r="B120" s="149">
        <f>51320.1</f>
        <v>51320.1</v>
      </c>
      <c r="C120" s="149">
        <f>21336</f>
        <v>21336</v>
      </c>
      <c r="D120" s="149">
        <f t="shared" si="10"/>
        <v>29984.1</v>
      </c>
      <c r="E120" s="203">
        <f t="shared" si="11"/>
        <v>2.4053290213723284</v>
      </c>
      <c r="F120" s="141">
        <f t="shared" si="8"/>
        <v>-51320.1</v>
      </c>
      <c r="G120" s="141">
        <f t="shared" si="9"/>
        <v>-21336</v>
      </c>
    </row>
    <row r="121" spans="1:7" ht="12.75" customHeight="1" x14ac:dyDescent="0.2">
      <c r="A121" s="133" t="s">
        <v>378</v>
      </c>
      <c r="B121" s="149">
        <f>3385.66</f>
        <v>3385.66</v>
      </c>
      <c r="C121" s="149">
        <f>4000</f>
        <v>4000</v>
      </c>
      <c r="D121" s="149">
        <f t="shared" si="10"/>
        <v>-614.34000000000015</v>
      </c>
      <c r="E121" s="203">
        <f t="shared" si="11"/>
        <v>0.84641499999999992</v>
      </c>
      <c r="F121" s="141">
        <f t="shared" si="8"/>
        <v>-3385.66</v>
      </c>
      <c r="G121" s="141">
        <f t="shared" si="9"/>
        <v>-4000</v>
      </c>
    </row>
    <row r="122" spans="1:7" ht="12.75" customHeight="1" x14ac:dyDescent="0.2">
      <c r="A122" s="133" t="s">
        <v>379</v>
      </c>
      <c r="B122" s="150"/>
      <c r="C122" s="149">
        <f>6664</f>
        <v>6664</v>
      </c>
      <c r="D122" s="149">
        <f t="shared" si="10"/>
        <v>-6664</v>
      </c>
      <c r="E122" s="203">
        <f t="shared" si="11"/>
        <v>0</v>
      </c>
      <c r="F122" s="141">
        <f t="shared" si="8"/>
        <v>0</v>
      </c>
      <c r="G122" s="141">
        <f t="shared" si="9"/>
        <v>-6664</v>
      </c>
    </row>
    <row r="123" spans="1:7" ht="12.75" customHeight="1" x14ac:dyDescent="0.2">
      <c r="A123" s="133" t="s">
        <v>380</v>
      </c>
      <c r="B123" s="150"/>
      <c r="C123" s="149">
        <f>8400</f>
        <v>8400</v>
      </c>
      <c r="D123" s="149">
        <f t="shared" si="10"/>
        <v>-8400</v>
      </c>
      <c r="E123" s="203">
        <f t="shared" si="11"/>
        <v>0</v>
      </c>
      <c r="F123" s="141">
        <f t="shared" si="8"/>
        <v>0</v>
      </c>
      <c r="G123" s="141">
        <f t="shared" si="9"/>
        <v>-8400</v>
      </c>
    </row>
    <row r="124" spans="1:7" ht="12.75" customHeight="1" x14ac:dyDescent="0.2">
      <c r="A124" s="133" t="s">
        <v>381</v>
      </c>
      <c r="B124" s="149">
        <f>50370.42</f>
        <v>50370.42</v>
      </c>
      <c r="C124" s="149">
        <f>40000</f>
        <v>40000</v>
      </c>
      <c r="D124" s="149">
        <f t="shared" si="10"/>
        <v>10370.419999999998</v>
      </c>
      <c r="E124" s="203">
        <f t="shared" si="11"/>
        <v>1.2592604999999999</v>
      </c>
      <c r="F124" s="141">
        <f t="shared" si="8"/>
        <v>-50370.42</v>
      </c>
      <c r="G124" s="141">
        <f t="shared" si="9"/>
        <v>-40000</v>
      </c>
    </row>
    <row r="125" spans="1:7" s="146" customFormat="1" ht="12.75" customHeight="1" x14ac:dyDescent="0.2">
      <c r="A125" s="133" t="s">
        <v>462</v>
      </c>
      <c r="B125" s="149">
        <f>37890</f>
        <v>37890</v>
      </c>
      <c r="C125" s="150"/>
      <c r="D125" s="149">
        <f t="shared" si="10"/>
        <v>37890</v>
      </c>
      <c r="E125" s="203" t="str">
        <f t="shared" si="11"/>
        <v/>
      </c>
      <c r="F125" s="141">
        <f t="shared" ref="F125:F126" si="12">-B125</f>
        <v>-37890</v>
      </c>
      <c r="G125" s="141">
        <f t="shared" ref="G125:G126" si="13">-C125</f>
        <v>0</v>
      </c>
    </row>
    <row r="126" spans="1:7" ht="12.75" customHeight="1" x14ac:dyDescent="0.2">
      <c r="A126" s="133" t="s">
        <v>382</v>
      </c>
      <c r="B126" s="150"/>
      <c r="C126" s="149">
        <f>10000</f>
        <v>10000</v>
      </c>
      <c r="D126" s="149">
        <f t="shared" si="10"/>
        <v>-10000</v>
      </c>
      <c r="E126" s="203">
        <f t="shared" si="11"/>
        <v>0</v>
      </c>
      <c r="F126" s="141">
        <f t="shared" si="12"/>
        <v>0</v>
      </c>
      <c r="G126" s="141">
        <f t="shared" si="13"/>
        <v>-10000</v>
      </c>
    </row>
    <row r="127" spans="1:7" ht="12.75" customHeight="1" x14ac:dyDescent="0.2">
      <c r="A127" s="133" t="s">
        <v>383</v>
      </c>
      <c r="B127" s="150"/>
      <c r="C127" s="149">
        <f>664</f>
        <v>664</v>
      </c>
      <c r="D127" s="149">
        <f t="shared" si="10"/>
        <v>-664</v>
      </c>
      <c r="E127" s="203">
        <f t="shared" si="11"/>
        <v>0</v>
      </c>
      <c r="F127" s="141">
        <f t="shared" si="8"/>
        <v>0</v>
      </c>
      <c r="G127" s="141">
        <f t="shared" si="9"/>
        <v>-664</v>
      </c>
    </row>
    <row r="128" spans="1:7" ht="12.75" customHeight="1" x14ac:dyDescent="0.2">
      <c r="A128" s="133" t="s">
        <v>384</v>
      </c>
      <c r="B128" s="149">
        <f>4462.5</f>
        <v>4462.5</v>
      </c>
      <c r="C128" s="149">
        <f>15911</f>
        <v>15911</v>
      </c>
      <c r="D128" s="149">
        <f t="shared" si="10"/>
        <v>-11448.5</v>
      </c>
      <c r="E128" s="203">
        <f t="shared" si="11"/>
        <v>0.28046634403871534</v>
      </c>
      <c r="F128" s="141">
        <f t="shared" si="8"/>
        <v>-4462.5</v>
      </c>
      <c r="G128" s="141">
        <f t="shared" si="9"/>
        <v>-15911</v>
      </c>
    </row>
    <row r="129" spans="1:7" ht="12.75" customHeight="1" x14ac:dyDescent="0.2">
      <c r="A129" s="133" t="s">
        <v>385</v>
      </c>
      <c r="B129" s="151">
        <f>(((((((((((B117)+(B118))+(B119))+(B120))+(B121))+(B122))+(B123))+(B124))+(B125))+(B126))+(B127))+(B128)</f>
        <v>209921.14</v>
      </c>
      <c r="C129" s="151">
        <f>(((((((((((C117)+(C118))+(C119))+(C120))+(C121))+(C122))+(C123))+(C124))+(C125))+(C126))+(C127))+(C128)</f>
        <v>166975</v>
      </c>
      <c r="D129" s="151">
        <f t="shared" si="10"/>
        <v>42946.140000000014</v>
      </c>
      <c r="E129" s="204">
        <f t="shared" si="11"/>
        <v>1.2572010181164845</v>
      </c>
      <c r="F129" s="141">
        <f t="shared" si="8"/>
        <v>-209921.14</v>
      </c>
      <c r="G129" s="141">
        <f t="shared" si="9"/>
        <v>-166975</v>
      </c>
    </row>
    <row r="130" spans="1:7" ht="12.75" customHeight="1" x14ac:dyDescent="0.2">
      <c r="A130" s="133" t="s">
        <v>386</v>
      </c>
      <c r="B130" s="150"/>
      <c r="C130" s="150"/>
      <c r="D130" s="149">
        <f t="shared" si="10"/>
        <v>0</v>
      </c>
      <c r="E130" s="203" t="str">
        <f t="shared" si="11"/>
        <v/>
      </c>
      <c r="F130" s="141">
        <f t="shared" si="8"/>
        <v>0</v>
      </c>
      <c r="G130" s="141">
        <f t="shared" si="9"/>
        <v>0</v>
      </c>
    </row>
    <row r="131" spans="1:7" ht="12.75" customHeight="1" x14ac:dyDescent="0.2">
      <c r="A131" s="133" t="s">
        <v>387</v>
      </c>
      <c r="B131" s="149">
        <f>17756.87</f>
        <v>17756.87</v>
      </c>
      <c r="C131" s="149">
        <f>18552</f>
        <v>18552</v>
      </c>
      <c r="D131" s="149">
        <f t="shared" si="10"/>
        <v>-795.13000000000102</v>
      </c>
      <c r="E131" s="203">
        <f t="shared" si="11"/>
        <v>0.95714047003018532</v>
      </c>
      <c r="F131" s="141">
        <f t="shared" si="8"/>
        <v>-17756.87</v>
      </c>
      <c r="G131" s="141">
        <f t="shared" si="9"/>
        <v>-18552</v>
      </c>
    </row>
    <row r="132" spans="1:7" ht="12.75" customHeight="1" x14ac:dyDescent="0.2">
      <c r="A132" s="133" t="s">
        <v>388</v>
      </c>
      <c r="B132" s="151">
        <f>(B130)+(B131)</f>
        <v>17756.87</v>
      </c>
      <c r="C132" s="151">
        <f>(C130)+(C131)</f>
        <v>18552</v>
      </c>
      <c r="D132" s="151">
        <f t="shared" si="10"/>
        <v>-795.13000000000102</v>
      </c>
      <c r="E132" s="204">
        <f t="shared" si="11"/>
        <v>0.95714047003018532</v>
      </c>
      <c r="F132" s="141">
        <f t="shared" si="8"/>
        <v>-17756.87</v>
      </c>
      <c r="G132" s="141">
        <f t="shared" si="9"/>
        <v>-18552</v>
      </c>
    </row>
    <row r="133" spans="1:7" ht="12.75" customHeight="1" x14ac:dyDescent="0.2">
      <c r="A133" s="133" t="s">
        <v>389</v>
      </c>
      <c r="B133" s="150"/>
      <c r="C133" s="150"/>
      <c r="D133" s="149">
        <f t="shared" si="10"/>
        <v>0</v>
      </c>
      <c r="E133" s="203" t="str">
        <f t="shared" si="11"/>
        <v/>
      </c>
      <c r="F133" s="141">
        <f t="shared" si="8"/>
        <v>0</v>
      </c>
      <c r="G133" s="141">
        <f t="shared" si="9"/>
        <v>0</v>
      </c>
    </row>
    <row r="134" spans="1:7" ht="12.75" customHeight="1" x14ac:dyDescent="0.2">
      <c r="A134" s="133" t="s">
        <v>390</v>
      </c>
      <c r="B134" s="149">
        <f>42337.79</f>
        <v>42337.79</v>
      </c>
      <c r="C134" s="149">
        <f>50000</f>
        <v>50000</v>
      </c>
      <c r="D134" s="149">
        <f t="shared" si="10"/>
        <v>-7662.2099999999991</v>
      </c>
      <c r="E134" s="203">
        <f t="shared" si="11"/>
        <v>0.84675580000000006</v>
      </c>
      <c r="F134" s="141">
        <f t="shared" si="8"/>
        <v>-42337.79</v>
      </c>
      <c r="G134" s="141">
        <f t="shared" si="9"/>
        <v>-50000</v>
      </c>
    </row>
    <row r="135" spans="1:7" ht="12.75" customHeight="1" x14ac:dyDescent="0.2">
      <c r="A135" s="133" t="s">
        <v>391</v>
      </c>
      <c r="B135" s="149">
        <f>784</f>
        <v>784</v>
      </c>
      <c r="C135" s="149">
        <f>3336</f>
        <v>3336</v>
      </c>
      <c r="D135" s="149">
        <f t="shared" si="10"/>
        <v>-2552</v>
      </c>
      <c r="E135" s="203">
        <f t="shared" si="11"/>
        <v>0.23501199040767387</v>
      </c>
      <c r="F135" s="141">
        <f t="shared" si="8"/>
        <v>-784</v>
      </c>
      <c r="G135" s="141">
        <f t="shared" si="9"/>
        <v>-3336</v>
      </c>
    </row>
    <row r="136" spans="1:7" ht="12.75" customHeight="1" x14ac:dyDescent="0.2">
      <c r="A136" s="133" t="s">
        <v>392</v>
      </c>
      <c r="B136" s="151">
        <f>((B133)+(B134))+(B135)</f>
        <v>43121.79</v>
      </c>
      <c r="C136" s="151">
        <f>((C133)+(C134))+(C135)</f>
        <v>53336</v>
      </c>
      <c r="D136" s="151">
        <f t="shared" si="10"/>
        <v>-10214.209999999999</v>
      </c>
      <c r="E136" s="204">
        <f t="shared" si="11"/>
        <v>0.80849313784310783</v>
      </c>
      <c r="F136" s="141">
        <f t="shared" si="8"/>
        <v>-43121.79</v>
      </c>
      <c r="G136" s="141">
        <f t="shared" si="9"/>
        <v>-53336</v>
      </c>
    </row>
    <row r="137" spans="1:7" ht="12.75" customHeight="1" x14ac:dyDescent="0.2">
      <c r="A137" s="133" t="s">
        <v>393</v>
      </c>
      <c r="B137" s="150"/>
      <c r="C137" s="150"/>
      <c r="D137" s="149">
        <f t="shared" si="10"/>
        <v>0</v>
      </c>
      <c r="E137" s="203" t="str">
        <f t="shared" si="11"/>
        <v/>
      </c>
      <c r="F137" s="141">
        <f t="shared" si="8"/>
        <v>0</v>
      </c>
      <c r="G137" s="141">
        <f t="shared" si="9"/>
        <v>0</v>
      </c>
    </row>
    <row r="138" spans="1:7" ht="12.75" customHeight="1" x14ac:dyDescent="0.2">
      <c r="A138" s="133" t="s">
        <v>394</v>
      </c>
      <c r="B138" s="149">
        <f>7634.44</f>
        <v>7634.44</v>
      </c>
      <c r="C138" s="149">
        <f>13336</f>
        <v>13336</v>
      </c>
      <c r="D138" s="149">
        <f t="shared" si="10"/>
        <v>-5701.56</v>
      </c>
      <c r="E138" s="203">
        <f t="shared" si="11"/>
        <v>0.57246850629874024</v>
      </c>
      <c r="F138" s="141">
        <f t="shared" si="8"/>
        <v>-7634.44</v>
      </c>
      <c r="G138" s="141">
        <f t="shared" si="9"/>
        <v>-13336</v>
      </c>
    </row>
    <row r="139" spans="1:7" ht="12.75" customHeight="1" x14ac:dyDescent="0.2">
      <c r="A139" s="133" t="s">
        <v>395</v>
      </c>
      <c r="B139" s="149">
        <f>28772.88</f>
        <v>28772.880000000001</v>
      </c>
      <c r="C139" s="149">
        <f>13336</f>
        <v>13336</v>
      </c>
      <c r="D139" s="149">
        <f t="shared" si="10"/>
        <v>15436.880000000001</v>
      </c>
      <c r="E139" s="203">
        <f t="shared" si="11"/>
        <v>2.1575344931013798</v>
      </c>
      <c r="F139" s="141">
        <f t="shared" si="8"/>
        <v>-28772.880000000001</v>
      </c>
      <c r="G139" s="141">
        <f t="shared" si="9"/>
        <v>-13336</v>
      </c>
    </row>
    <row r="140" spans="1:7" ht="12.75" customHeight="1" x14ac:dyDescent="0.2">
      <c r="A140" s="133" t="s">
        <v>448</v>
      </c>
      <c r="B140" s="149">
        <f>13050</f>
        <v>13050</v>
      </c>
      <c r="C140" s="150"/>
      <c r="D140" s="149">
        <f t="shared" si="10"/>
        <v>13050</v>
      </c>
      <c r="E140" s="203" t="str">
        <f t="shared" si="11"/>
        <v/>
      </c>
      <c r="F140" s="141">
        <f t="shared" si="8"/>
        <v>-13050</v>
      </c>
      <c r="G140" s="141">
        <f t="shared" si="9"/>
        <v>0</v>
      </c>
    </row>
    <row r="141" spans="1:7" s="145" customFormat="1" ht="12.75" customHeight="1" x14ac:dyDescent="0.2">
      <c r="A141" s="133" t="s">
        <v>396</v>
      </c>
      <c r="B141" s="150"/>
      <c r="C141" s="149">
        <f>6664</f>
        <v>6664</v>
      </c>
      <c r="D141" s="149">
        <f t="shared" si="10"/>
        <v>-6664</v>
      </c>
      <c r="E141" s="203">
        <f t="shared" si="11"/>
        <v>0</v>
      </c>
      <c r="F141" s="141">
        <f t="shared" ref="F141" si="14">-B141</f>
        <v>0</v>
      </c>
      <c r="G141" s="141">
        <f t="shared" ref="G141" si="15">-C141</f>
        <v>-6664</v>
      </c>
    </row>
    <row r="142" spans="1:7" ht="12.75" customHeight="1" x14ac:dyDescent="0.2">
      <c r="A142" s="133" t="s">
        <v>397</v>
      </c>
      <c r="B142" s="151">
        <f>((((B137)+(B138))+(B139))+(B140))+(B141)</f>
        <v>49457.32</v>
      </c>
      <c r="C142" s="151">
        <f>((((C137)+(C138))+(C139))+(C140))+(C141)</f>
        <v>33336</v>
      </c>
      <c r="D142" s="151">
        <f t="shared" si="10"/>
        <v>16121.32</v>
      </c>
      <c r="E142" s="204">
        <f t="shared" si="11"/>
        <v>1.4836009119270459</v>
      </c>
      <c r="F142" s="141">
        <f t="shared" si="8"/>
        <v>-49457.32</v>
      </c>
      <c r="G142" s="141">
        <f t="shared" si="9"/>
        <v>-33336</v>
      </c>
    </row>
    <row r="143" spans="1:7" ht="12.75" customHeight="1" x14ac:dyDescent="0.2">
      <c r="A143" s="133" t="s">
        <v>398</v>
      </c>
      <c r="B143" s="150"/>
      <c r="C143" s="150"/>
      <c r="D143" s="149">
        <f t="shared" si="10"/>
        <v>0</v>
      </c>
      <c r="E143" s="203" t="str">
        <f t="shared" si="11"/>
        <v/>
      </c>
      <c r="F143" s="141">
        <f t="shared" si="8"/>
        <v>0</v>
      </c>
      <c r="G143" s="141">
        <f t="shared" si="9"/>
        <v>0</v>
      </c>
    </row>
    <row r="144" spans="1:7" ht="12.75" customHeight="1" x14ac:dyDescent="0.2">
      <c r="A144" s="133" t="s">
        <v>399</v>
      </c>
      <c r="B144" s="149">
        <f>11812.82</f>
        <v>11812.82</v>
      </c>
      <c r="C144" s="150"/>
      <c r="D144" s="149">
        <f t="shared" si="10"/>
        <v>11812.82</v>
      </c>
      <c r="E144" s="203" t="str">
        <f t="shared" si="11"/>
        <v/>
      </c>
      <c r="F144" s="141">
        <f t="shared" si="8"/>
        <v>-11812.82</v>
      </c>
      <c r="G144" s="141">
        <f t="shared" si="9"/>
        <v>0</v>
      </c>
    </row>
    <row r="145" spans="1:7" ht="12.75" customHeight="1" x14ac:dyDescent="0.2">
      <c r="A145" s="133" t="s">
        <v>400</v>
      </c>
      <c r="B145" s="149">
        <f>6730.5</f>
        <v>6730.5</v>
      </c>
      <c r="C145" s="149">
        <f>2000</f>
        <v>2000</v>
      </c>
      <c r="D145" s="149">
        <f t="shared" si="10"/>
        <v>4730.5</v>
      </c>
      <c r="E145" s="203">
        <f t="shared" si="11"/>
        <v>3.3652500000000001</v>
      </c>
      <c r="F145" s="141">
        <f t="shared" si="8"/>
        <v>-6730.5</v>
      </c>
      <c r="G145" s="141">
        <f t="shared" si="9"/>
        <v>-2000</v>
      </c>
    </row>
    <row r="146" spans="1:7" ht="12.75" customHeight="1" x14ac:dyDescent="0.2">
      <c r="A146" s="133" t="s">
        <v>401</v>
      </c>
      <c r="B146" s="149">
        <f>4142.48</f>
        <v>4142.4799999999996</v>
      </c>
      <c r="C146" s="149">
        <f>1336</f>
        <v>1336</v>
      </c>
      <c r="D146" s="149">
        <f t="shared" si="10"/>
        <v>2806.4799999999996</v>
      </c>
      <c r="E146" s="203">
        <f t="shared" si="11"/>
        <v>3.1006586826347302</v>
      </c>
      <c r="F146" s="141">
        <f t="shared" si="8"/>
        <v>-4142.4799999999996</v>
      </c>
      <c r="G146" s="141">
        <f t="shared" si="9"/>
        <v>-1336</v>
      </c>
    </row>
    <row r="147" spans="1:7" ht="12.75" customHeight="1" x14ac:dyDescent="0.2">
      <c r="A147" s="133" t="s">
        <v>416</v>
      </c>
      <c r="B147" s="149">
        <f>0</f>
        <v>0</v>
      </c>
      <c r="C147" s="150"/>
      <c r="D147" s="149">
        <f t="shared" si="10"/>
        <v>0</v>
      </c>
      <c r="E147" s="203" t="str">
        <f t="shared" si="11"/>
        <v/>
      </c>
      <c r="F147" s="141">
        <f t="shared" si="8"/>
        <v>0</v>
      </c>
      <c r="G147" s="141">
        <f t="shared" si="9"/>
        <v>0</v>
      </c>
    </row>
    <row r="148" spans="1:7" ht="12.75" customHeight="1" x14ac:dyDescent="0.2">
      <c r="A148" s="133" t="s">
        <v>402</v>
      </c>
      <c r="B148" s="151">
        <f>((((B143)+(B144))+(B145))+(B146))+(B147)</f>
        <v>22685.8</v>
      </c>
      <c r="C148" s="151">
        <f>((((C143)+(C144))+(C145))+(C146))+(C147)</f>
        <v>3336</v>
      </c>
      <c r="D148" s="151">
        <f t="shared" si="10"/>
        <v>19349.8</v>
      </c>
      <c r="E148" s="204">
        <f t="shared" si="11"/>
        <v>6.8002997601918462</v>
      </c>
      <c r="F148" s="141">
        <f t="shared" si="8"/>
        <v>-22685.8</v>
      </c>
      <c r="G148" s="141">
        <f t="shared" si="9"/>
        <v>-3336</v>
      </c>
    </row>
    <row r="149" spans="1:7" ht="12.75" customHeight="1" x14ac:dyDescent="0.2">
      <c r="A149" s="133" t="s">
        <v>403</v>
      </c>
      <c r="B149" s="150"/>
      <c r="C149" s="150"/>
      <c r="D149" s="149">
        <f t="shared" si="10"/>
        <v>0</v>
      </c>
      <c r="E149" s="203" t="str">
        <f t="shared" si="11"/>
        <v/>
      </c>
      <c r="F149" s="141">
        <f t="shared" si="8"/>
        <v>0</v>
      </c>
      <c r="G149" s="141">
        <f t="shared" si="9"/>
        <v>0</v>
      </c>
    </row>
    <row r="150" spans="1:7" ht="12.75" customHeight="1" x14ac:dyDescent="0.2">
      <c r="A150" s="133" t="s">
        <v>404</v>
      </c>
      <c r="B150" s="149">
        <f>322.4</f>
        <v>322.39999999999998</v>
      </c>
      <c r="C150" s="149">
        <f>200</f>
        <v>200</v>
      </c>
      <c r="D150" s="149">
        <f t="shared" si="10"/>
        <v>122.39999999999998</v>
      </c>
      <c r="E150" s="203">
        <f t="shared" si="11"/>
        <v>1.6119999999999999</v>
      </c>
      <c r="F150" s="141">
        <f t="shared" si="8"/>
        <v>-322.39999999999998</v>
      </c>
      <c r="G150" s="141">
        <f t="shared" si="9"/>
        <v>-200</v>
      </c>
    </row>
    <row r="151" spans="1:7" ht="12.75" customHeight="1" x14ac:dyDescent="0.2">
      <c r="A151" s="133" t="s">
        <v>405</v>
      </c>
      <c r="B151" s="149">
        <f>622.55</f>
        <v>622.54999999999995</v>
      </c>
      <c r="C151" s="150"/>
      <c r="D151" s="149">
        <f t="shared" si="10"/>
        <v>622.54999999999995</v>
      </c>
      <c r="E151" s="203" t="str">
        <f t="shared" si="11"/>
        <v/>
      </c>
      <c r="F151" s="141">
        <f t="shared" si="8"/>
        <v>-622.54999999999995</v>
      </c>
      <c r="G151" s="141">
        <f t="shared" si="9"/>
        <v>0</v>
      </c>
    </row>
    <row r="152" spans="1:7" ht="12.75" customHeight="1" x14ac:dyDescent="0.2">
      <c r="A152" s="133" t="s">
        <v>406</v>
      </c>
      <c r="B152" s="150"/>
      <c r="C152" s="149">
        <f>0</f>
        <v>0</v>
      </c>
      <c r="D152" s="149">
        <f t="shared" si="10"/>
        <v>0</v>
      </c>
      <c r="E152" s="203" t="str">
        <f t="shared" si="11"/>
        <v/>
      </c>
      <c r="F152" s="141">
        <f t="shared" si="8"/>
        <v>0</v>
      </c>
      <c r="G152" s="141">
        <f t="shared" si="9"/>
        <v>0</v>
      </c>
    </row>
    <row r="153" spans="1:7" ht="12.75" customHeight="1" x14ac:dyDescent="0.2">
      <c r="A153" s="133" t="s">
        <v>407</v>
      </c>
      <c r="B153" s="151">
        <f>(((B149)+(B150))+(B151))+(B152)</f>
        <v>944.94999999999993</v>
      </c>
      <c r="C153" s="151">
        <f>(((C149)+(C150))+(C151))+(C152)</f>
        <v>200</v>
      </c>
      <c r="D153" s="151">
        <f t="shared" si="10"/>
        <v>744.94999999999993</v>
      </c>
      <c r="E153" s="204">
        <f t="shared" si="11"/>
        <v>4.7247499999999993</v>
      </c>
      <c r="F153" s="141">
        <f t="shared" si="8"/>
        <v>-944.94999999999993</v>
      </c>
      <c r="G153" s="141">
        <f t="shared" si="9"/>
        <v>-200</v>
      </c>
    </row>
    <row r="154" spans="1:7" ht="12.75" customHeight="1" x14ac:dyDescent="0.2">
      <c r="A154" s="133" t="s">
        <v>408</v>
      </c>
      <c r="B154" s="150"/>
      <c r="C154" s="149">
        <f>157200</f>
        <v>157200</v>
      </c>
      <c r="D154" s="149">
        <f t="shared" si="10"/>
        <v>-157200</v>
      </c>
      <c r="E154" s="203">
        <f t="shared" si="11"/>
        <v>0</v>
      </c>
      <c r="F154" s="141">
        <f t="shared" si="8"/>
        <v>0</v>
      </c>
      <c r="G154" s="141">
        <f t="shared" si="9"/>
        <v>-157200</v>
      </c>
    </row>
    <row r="155" spans="1:7" ht="12.75" customHeight="1" x14ac:dyDescent="0.2">
      <c r="A155" s="133" t="s">
        <v>454</v>
      </c>
      <c r="B155" s="150"/>
      <c r="C155" s="149">
        <f>0</f>
        <v>0</v>
      </c>
      <c r="D155" s="149">
        <f t="shared" si="10"/>
        <v>0</v>
      </c>
      <c r="E155" s="203" t="str">
        <f t="shared" si="11"/>
        <v/>
      </c>
      <c r="F155" s="141">
        <f t="shared" si="8"/>
        <v>0</v>
      </c>
      <c r="G155" s="141">
        <f t="shared" si="9"/>
        <v>0</v>
      </c>
    </row>
    <row r="156" spans="1:7" ht="12.75" customHeight="1" x14ac:dyDescent="0.2">
      <c r="A156" s="133" t="s">
        <v>135</v>
      </c>
      <c r="B156" s="151">
        <f>(((((((((((B62)+(B87))+(B105))+(B116))+(B129))+(B132))+(B136))+(B142))+(B148))+(B153))+(B154))+(B155)</f>
        <v>2901811.2000000002</v>
      </c>
      <c r="C156" s="151">
        <f>(((((((((((C62)+(C87))+(C105))+(C116))+(C129))+(C132))+(C136))+(C142))+(C148))+(C153))+(C154))+(C155)</f>
        <v>2996427</v>
      </c>
      <c r="D156" s="151">
        <f t="shared" si="10"/>
        <v>-94615.799999999814</v>
      </c>
      <c r="E156" s="204">
        <f t="shared" si="11"/>
        <v>0.96842379273714996</v>
      </c>
      <c r="F156" s="141">
        <f t="shared" si="8"/>
        <v>-2901811.2000000002</v>
      </c>
      <c r="G156" s="141">
        <f t="shared" si="9"/>
        <v>-2996427</v>
      </c>
    </row>
    <row r="157" spans="1:7" ht="12.75" customHeight="1" x14ac:dyDescent="0.2">
      <c r="A157" s="133" t="s">
        <v>136</v>
      </c>
      <c r="B157" s="151">
        <f>(B30)-(B156)</f>
        <v>336113.37999999989</v>
      </c>
      <c r="C157" s="151">
        <f>(C30)-(C156)</f>
        <v>176012</v>
      </c>
      <c r="D157" s="151">
        <f t="shared" si="10"/>
        <v>160101.37999999989</v>
      </c>
      <c r="E157" s="204">
        <f t="shared" si="11"/>
        <v>1.9096049133013653</v>
      </c>
      <c r="F157" s="141">
        <f t="shared" si="8"/>
        <v>-336113.37999999989</v>
      </c>
      <c r="G157" s="141">
        <f t="shared" si="9"/>
        <v>-176012</v>
      </c>
    </row>
    <row r="158" spans="1:7" ht="12.75" customHeight="1" x14ac:dyDescent="0.2">
      <c r="A158" s="133"/>
      <c r="B158" s="134"/>
      <c r="C158" s="134"/>
      <c r="D158" s="134"/>
      <c r="E158" s="134"/>
    </row>
    <row r="159" spans="1:7" ht="12.75" customHeight="1" x14ac:dyDescent="0.2"/>
    <row r="160" spans="1:7" ht="12.75" customHeight="1" x14ac:dyDescent="0.2"/>
    <row r="161" spans="1:5" ht="12.75" customHeight="1" x14ac:dyDescent="0.2">
      <c r="A161" s="240"/>
      <c r="B161" s="241"/>
      <c r="C161" s="241"/>
      <c r="D161" s="241"/>
      <c r="E161" s="241"/>
    </row>
  </sheetData>
  <mergeCells count="5">
    <mergeCell ref="B5:E5"/>
    <mergeCell ref="A161:E161"/>
    <mergeCell ref="A1:E1"/>
    <mergeCell ref="A2:E2"/>
    <mergeCell ref="A3:E3"/>
  </mergeCells>
  <pageMargins left="0.7" right="0.7" top="0.75" bottom="0.75" header="0.3" footer="0.3"/>
  <pageSetup scale="4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13"/>
  <sheetViews>
    <sheetView workbookViewId="0">
      <selection activeCell="A6" sqref="A6:XFD6"/>
    </sheetView>
  </sheetViews>
  <sheetFormatPr defaultRowHeight="15" x14ac:dyDescent="0.25"/>
  <cols>
    <col min="2" max="2" width="35.7109375" customWidth="1"/>
  </cols>
  <sheetData>
    <row r="5" spans="2:2" x14ac:dyDescent="0.25">
      <c r="B5" s="194" t="s">
        <v>516</v>
      </c>
    </row>
    <row r="6" spans="2:2" x14ac:dyDescent="0.25">
      <c r="B6" s="195" t="s">
        <v>517</v>
      </c>
    </row>
    <row r="7" spans="2:2" x14ac:dyDescent="0.25">
      <c r="B7" s="195" t="s">
        <v>116</v>
      </c>
    </row>
    <row r="8" spans="2:2" x14ac:dyDescent="0.25">
      <c r="B8" s="195" t="s">
        <v>515</v>
      </c>
    </row>
    <row r="9" spans="2:2" x14ac:dyDescent="0.25">
      <c r="B9" s="195" t="s">
        <v>518</v>
      </c>
    </row>
    <row r="10" spans="2:2" x14ac:dyDescent="0.25">
      <c r="B10" s="195" t="s">
        <v>519</v>
      </c>
    </row>
    <row r="11" spans="2:2" x14ac:dyDescent="0.25">
      <c r="B11" s="195" t="s">
        <v>520</v>
      </c>
    </row>
    <row r="12" spans="2:2" x14ac:dyDescent="0.25">
      <c r="B12" s="195" t="s">
        <v>526</v>
      </c>
    </row>
    <row r="13" spans="2:2" x14ac:dyDescent="0.25">
      <c r="B13" s="195" t="s">
        <v>521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Summary</vt:lpstr>
      <vt:lpstr>Summary 2</vt:lpstr>
      <vt:lpstr>Operating Budget v Actual</vt:lpstr>
      <vt:lpstr>Balance Sheet</vt:lpstr>
      <vt:lpstr>Capital Budget v Actual</vt:lpstr>
      <vt:lpstr>Enrollment Summary</vt:lpstr>
      <vt:lpstr>Mapping Data</vt:lpstr>
      <vt:lpstr>Validation Table</vt:lpstr>
      <vt:lpstr>'Balance Sheet'!Print_Area</vt:lpstr>
      <vt:lpstr>'Capital Budget v Actual'!Print_Area</vt:lpstr>
      <vt:lpstr>'Enrollment Summary'!Print_Area</vt:lpstr>
      <vt:lpstr>'Operating Budget v Actual'!Print_Area</vt:lpstr>
      <vt:lpstr>Summary!Print_Area</vt:lpstr>
      <vt:lpstr>'Summary 2'!Print_Area</vt:lpstr>
      <vt:lpstr>'Operating Budget v Actual'!Print_Titles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JBeharry</dc:creator>
  <cp:lastModifiedBy>Courtney Correnti</cp:lastModifiedBy>
  <cp:lastPrinted>2013-02-07T20:08:51Z</cp:lastPrinted>
  <dcterms:created xsi:type="dcterms:W3CDTF">2011-10-14T19:21:12Z</dcterms:created>
  <dcterms:modified xsi:type="dcterms:W3CDTF">2013-04-24T20:00:08Z</dcterms:modified>
</cp:coreProperties>
</file>